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Tabelle1" sheetId="1" r:id="rId1"/>
    <sheet name="Tabelle2" sheetId="2" r:id="rId2"/>
    <sheet name="Tabelle3" sheetId="3" r:id="rId3"/>
  </sheets>
  <definedNames>
    <definedName name="oligotroph">'Tabelle1'!$B$92</definedName>
  </definedNames>
  <calcPr fullCalcOnLoad="1"/>
</workbook>
</file>

<file path=xl/comments1.xml><?xml version="1.0" encoding="utf-8"?>
<comments xmlns="http://schemas.openxmlformats.org/spreadsheetml/2006/main">
  <authors>
    <author>Hartmut</author>
  </authors>
  <commentList>
    <comment ref="B91" authorId="0">
      <text>
        <r>
          <rPr>
            <sz val="8"/>
            <rFont val="Tahoma"/>
            <family val="0"/>
          </rPr>
          <t xml:space="preserve">Falsch = nicht zutreffend
Wahr = zutreffend
</t>
        </r>
      </text>
    </comment>
  </commentList>
</comments>
</file>

<file path=xl/sharedStrings.xml><?xml version="1.0" encoding="utf-8"?>
<sst xmlns="http://schemas.openxmlformats.org/spreadsheetml/2006/main" count="210" uniqueCount="125">
  <si>
    <t>Tragen Sie die fehlenden Angaben in die farbigen Felder ein!</t>
  </si>
  <si>
    <t>Gesamt-P Frühjahrszirkulation</t>
  </si>
  <si>
    <t>µg/l</t>
  </si>
  <si>
    <t>Gesamt-P Epilimnion Sommerst.</t>
  </si>
  <si>
    <r>
      <t>Chlorophyll a Epilimnion</t>
    </r>
    <r>
      <rPr>
        <sz val="10"/>
        <rFont val="Arial"/>
        <family val="2"/>
      </rPr>
      <t>*</t>
    </r>
  </si>
  <si>
    <t>Sichttiefe*</t>
  </si>
  <si>
    <t>m</t>
  </si>
  <si>
    <t>*Sommermittel ohne Klarwasserstadium</t>
  </si>
  <si>
    <t>Trophieindex Chl.-a =</t>
  </si>
  <si>
    <r>
      <t>I</t>
    </r>
    <r>
      <rPr>
        <b/>
        <vertAlign val="subscript"/>
        <sz val="12"/>
        <color indexed="57"/>
        <rFont val="Arial"/>
        <family val="2"/>
      </rPr>
      <t>chla</t>
    </r>
  </si>
  <si>
    <t>Ziffer entnehmen:</t>
  </si>
  <si>
    <t>2.2 Indexzuweisung für geschichtete Seen, Sichttiefe</t>
  </si>
  <si>
    <t>Trophieindex Sichttiefe =</t>
  </si>
  <si>
    <r>
      <t>I</t>
    </r>
    <r>
      <rPr>
        <b/>
        <vertAlign val="subscript"/>
        <sz val="12"/>
        <color indexed="57"/>
        <rFont val="Arial"/>
        <family val="2"/>
      </rPr>
      <t>st</t>
    </r>
  </si>
  <si>
    <t>2.2 Indexzuweisung für geschichtete Seen, Gesamt-P Frühjahr</t>
  </si>
  <si>
    <t>Trophieindex P-Frühjahr =</t>
  </si>
  <si>
    <r>
      <t>I</t>
    </r>
    <r>
      <rPr>
        <b/>
        <vertAlign val="subscript"/>
        <sz val="12"/>
        <color indexed="57"/>
        <rFont val="Arial"/>
        <family val="2"/>
      </rPr>
      <t>TP-FZ</t>
    </r>
  </si>
  <si>
    <t>2.2 Indexzuweisung für geschichtete Seen, Gesamt-P Sommer</t>
  </si>
  <si>
    <t>Trophieindex P-Sommer =</t>
  </si>
  <si>
    <r>
      <t>I</t>
    </r>
    <r>
      <rPr>
        <b/>
        <vertAlign val="subscript"/>
        <sz val="12"/>
        <color indexed="57"/>
        <rFont val="Arial"/>
        <family val="2"/>
      </rPr>
      <t>TP-SSt</t>
    </r>
  </si>
  <si>
    <r>
      <t>Sichttiefe</t>
    </r>
    <r>
      <rPr>
        <sz val="10"/>
        <rFont val="Arial"/>
        <family val="2"/>
      </rPr>
      <t>*</t>
    </r>
  </si>
  <si>
    <t>Detailrechnungen zur Information</t>
  </si>
  <si>
    <t>Trophie-Index für Chlorophyll-a</t>
  </si>
  <si>
    <t>Trophie-Index Sichttiefe</t>
  </si>
  <si>
    <t>Trophie-Index P-Frühjahr</t>
  </si>
  <si>
    <t>Trophie-Index P-Sommer</t>
  </si>
  <si>
    <t>Gesamtindex=</t>
  </si>
  <si>
    <t>Iges</t>
  </si>
  <si>
    <t>Zuordnung Gesamtindex:</t>
  </si>
  <si>
    <t>oligotroph</t>
  </si>
  <si>
    <t>mesotroph</t>
  </si>
  <si>
    <t>eutroph e1</t>
  </si>
  <si>
    <t>eutroph e2</t>
  </si>
  <si>
    <t>polytroph p1</t>
  </si>
  <si>
    <t>polytroph p2</t>
  </si>
  <si>
    <t>hypertroph</t>
  </si>
  <si>
    <t>wahr=zutreffend</t>
  </si>
  <si>
    <t>falsch=unzutreffend</t>
  </si>
  <si>
    <t>2.2 Indexzuweisung für geschichtete Seen - Ermittlung der Trophie</t>
  </si>
  <si>
    <t>1. Quantitative Beschreibung des Referenzzustandes von Standgewässern</t>
  </si>
  <si>
    <t>Schritt 1</t>
  </si>
  <si>
    <t>Größe der Gewässerfläche</t>
  </si>
  <si>
    <t>[ha]</t>
  </si>
  <si>
    <t>Volumen des Gewässers</t>
  </si>
  <si>
    <r>
      <t>[10</t>
    </r>
    <r>
      <rPr>
        <vertAlign val="superscript"/>
        <sz val="10"/>
        <color indexed="10"/>
        <rFont val="Arial"/>
        <family val="2"/>
      </rPr>
      <t>6</t>
    </r>
    <r>
      <rPr>
        <sz val="10"/>
        <color indexed="10"/>
        <rFont val="Arial"/>
        <family val="2"/>
      </rPr>
      <t xml:space="preserve"> m</t>
    </r>
    <r>
      <rPr>
        <vertAlign val="superscript"/>
        <sz val="10"/>
        <color indexed="10"/>
        <rFont val="Arial"/>
        <family val="2"/>
      </rPr>
      <t>3</t>
    </r>
    <r>
      <rPr>
        <sz val="10"/>
        <color indexed="10"/>
        <rFont val="Arial"/>
        <family val="2"/>
      </rPr>
      <t>]</t>
    </r>
  </si>
  <si>
    <r>
      <t>Jahreszufluss [10</t>
    </r>
    <r>
      <rPr>
        <vertAlign val="superscript"/>
        <sz val="10"/>
        <color indexed="10"/>
        <rFont val="Arial"/>
        <family val="2"/>
      </rPr>
      <t>6</t>
    </r>
    <r>
      <rPr>
        <sz val="10"/>
        <color indexed="10"/>
        <rFont val="Arial"/>
        <family val="2"/>
      </rPr>
      <t xml:space="preserve"> m</t>
    </r>
    <r>
      <rPr>
        <vertAlign val="superscript"/>
        <sz val="10"/>
        <color indexed="10"/>
        <rFont val="Arial"/>
        <family val="2"/>
      </rPr>
      <t>3</t>
    </r>
    <r>
      <rPr>
        <sz val="10"/>
        <color indexed="10"/>
        <rFont val="Arial"/>
        <family val="2"/>
      </rPr>
      <t>/a]</t>
    </r>
  </si>
  <si>
    <r>
      <t>[10</t>
    </r>
    <r>
      <rPr>
        <vertAlign val="superscript"/>
        <sz val="10"/>
        <color indexed="10"/>
        <rFont val="Arial"/>
        <family val="2"/>
      </rPr>
      <t>6</t>
    </r>
    <r>
      <rPr>
        <sz val="10"/>
        <color indexed="10"/>
        <rFont val="Arial"/>
        <family val="2"/>
      </rPr>
      <t xml:space="preserve"> m</t>
    </r>
    <r>
      <rPr>
        <vertAlign val="superscript"/>
        <sz val="10"/>
        <color indexed="10"/>
        <rFont val="Arial"/>
        <family val="2"/>
      </rPr>
      <t>3</t>
    </r>
    <r>
      <rPr>
        <sz val="10"/>
        <color indexed="10"/>
        <rFont val="Arial"/>
        <family val="2"/>
      </rPr>
      <t>/a]</t>
    </r>
  </si>
  <si>
    <t>Flächenanteile der Nutzungen und Bodenarten des Einzugsgebiets</t>
  </si>
  <si>
    <t>Ermittlung des  potentiell natürlichen P-Eintrags der Teilflächen</t>
  </si>
  <si>
    <t>Flächentyp</t>
  </si>
  <si>
    <t>Größe [ha] eintragen!</t>
  </si>
  <si>
    <t>P-Fracht [kg P/a]</t>
  </si>
  <si>
    <t>dauerhaft vegetationsbedeckt</t>
  </si>
  <si>
    <t>Wald</t>
  </si>
  <si>
    <t>intakte Moore</t>
  </si>
  <si>
    <t>extensive Nutzflächen</t>
  </si>
  <si>
    <t>kalkreiche Mineralböden</t>
  </si>
  <si>
    <t>nährstoffarme Sandböden</t>
  </si>
  <si>
    <t>kalkarme Mineralböden</t>
  </si>
  <si>
    <t>Hochmoore</t>
  </si>
  <si>
    <t>Niedermoore</t>
  </si>
  <si>
    <t>Direkteintrag über die Gewässerfläche</t>
  </si>
  <si>
    <t>Atmosphärischer Eintrag</t>
  </si>
  <si>
    <t>Gesamt</t>
  </si>
  <si>
    <t>Mittlere Phosphorkonzentration in den Seenzuflüssen (Pi)</t>
  </si>
  <si>
    <t>Pi =</t>
  </si>
  <si>
    <r>
      <t>mg/m</t>
    </r>
    <r>
      <rPr>
        <b/>
        <u val="single"/>
        <vertAlign val="superscript"/>
        <sz val="10"/>
        <rFont val="Arial"/>
        <family val="2"/>
      </rPr>
      <t>3</t>
    </r>
  </si>
  <si>
    <t>Mittlere Verweilzeit des Wassers (Rt)</t>
  </si>
  <si>
    <t>Rt =</t>
  </si>
  <si>
    <t>a</t>
  </si>
  <si>
    <t>Mittlere im Gewässer zu erwartende Gesamt-P-Konzentration  (Pl)</t>
  </si>
  <si>
    <t>Pl =</t>
  </si>
  <si>
    <r>
      <t>mg/m</t>
    </r>
    <r>
      <rPr>
        <b/>
        <u val="single"/>
        <vertAlign val="superscript"/>
        <sz val="12"/>
        <rFont val="Arial"/>
        <family val="2"/>
      </rPr>
      <t>3</t>
    </r>
  </si>
  <si>
    <t>Trophie, welche maximal potentiell möglich ist:</t>
  </si>
  <si>
    <t>Schritt 2</t>
  </si>
  <si>
    <t>maximale Tiefe des Gewässers</t>
  </si>
  <si>
    <r>
      <t>[</t>
    </r>
    <r>
      <rPr>
        <sz val="10"/>
        <color indexed="10"/>
        <rFont val="Arial"/>
        <family val="2"/>
      </rPr>
      <t>m</t>
    </r>
    <r>
      <rPr>
        <sz val="10"/>
        <color indexed="10"/>
        <rFont val="Arial"/>
        <family val="2"/>
      </rPr>
      <t>]</t>
    </r>
  </si>
  <si>
    <r>
      <t>effektive Länge des Gewässers L</t>
    </r>
    <r>
      <rPr>
        <vertAlign val="subscript"/>
        <sz val="10"/>
        <color indexed="10"/>
        <rFont val="Arial"/>
        <family val="2"/>
      </rPr>
      <t>eff</t>
    </r>
  </si>
  <si>
    <t>[km]</t>
  </si>
  <si>
    <r>
      <t>effektive Breite des Gewässers B</t>
    </r>
    <r>
      <rPr>
        <vertAlign val="subscript"/>
        <sz val="10"/>
        <color indexed="10"/>
        <rFont val="Arial"/>
        <family val="2"/>
      </rPr>
      <t>eff</t>
    </r>
  </si>
  <si>
    <t>Mittlere Tiefe des Gewässers (Zm)</t>
  </si>
  <si>
    <t>Zm =</t>
  </si>
  <si>
    <t>Tiefengradient F</t>
  </si>
  <si>
    <t>F =</t>
  </si>
  <si>
    <t>Mittlere im Gewässer zu erwartende Sichttiefe (STref)</t>
  </si>
  <si>
    <t>STref =</t>
  </si>
  <si>
    <t>Trophie, welche potentiell zu erwarten ist:</t>
  </si>
  <si>
    <t>geschichtete Seen</t>
  </si>
  <si>
    <t>Ergebnis 1</t>
  </si>
  <si>
    <t>Ergebnis 2</t>
  </si>
  <si>
    <t>Ergebnis 3</t>
  </si>
  <si>
    <t>Schritt 3</t>
  </si>
  <si>
    <r>
      <t xml:space="preserve">2. Quantitative Beschreibung des </t>
    </r>
    <r>
      <rPr>
        <b/>
        <sz val="14"/>
        <color indexed="17"/>
        <rFont val="Arial"/>
        <family val="2"/>
      </rPr>
      <t>Istzustandes</t>
    </r>
    <r>
      <rPr>
        <b/>
        <sz val="10"/>
        <color indexed="17"/>
        <rFont val="Arial"/>
        <family val="2"/>
      </rPr>
      <t xml:space="preserve"> von Standgewässern</t>
    </r>
  </si>
  <si>
    <r>
      <t xml:space="preserve">1.2 Trophiesteuernde Kenngrößen der </t>
    </r>
    <r>
      <rPr>
        <b/>
        <sz val="14"/>
        <color indexed="17"/>
        <rFont val="Arial"/>
        <family val="2"/>
      </rPr>
      <t>Seebeckenmorphometrie</t>
    </r>
  </si>
  <si>
    <r>
      <t>1.1 Ermitteln des</t>
    </r>
    <r>
      <rPr>
        <b/>
        <sz val="14"/>
        <color indexed="17"/>
        <rFont val="Arial"/>
        <family val="2"/>
      </rPr>
      <t xml:space="preserve"> potentiell natürlichen Nährstoffeintrages</t>
    </r>
  </si>
  <si>
    <t>Bewertung</t>
  </si>
  <si>
    <t>Bewertungsstufe:</t>
  </si>
  <si>
    <t>Istzustand</t>
  </si>
  <si>
    <t>eutroph</t>
  </si>
  <si>
    <t>polytroph</t>
  </si>
  <si>
    <t>Symbol</t>
  </si>
  <si>
    <t>o</t>
  </si>
  <si>
    <t>e1</t>
  </si>
  <si>
    <t>e2</t>
  </si>
  <si>
    <t>p1</t>
  </si>
  <si>
    <t>p2</t>
  </si>
  <si>
    <t>h</t>
  </si>
  <si>
    <t>Referenzzustand</t>
  </si>
  <si>
    <t>p2, h</t>
  </si>
  <si>
    <t>kommen definitionsgemäß als Referenzzustand nicht vor</t>
  </si>
  <si>
    <t xml:space="preserve"> -</t>
  </si>
  <si>
    <t>Schritt 4</t>
  </si>
  <si>
    <t>Schritt 5</t>
  </si>
  <si>
    <t>nach Morphologie*</t>
  </si>
  <si>
    <t>nach Einzugsgebiet*</t>
  </si>
  <si>
    <t>*Bei Differenzen den niedrigeren Wert ansetzen</t>
  </si>
  <si>
    <t>Lesen Sie bei den Schnittpunkten von WAHR (Referenz) und ------WAHR (IST) die jeweilige Bewertungsstufe ab!</t>
  </si>
  <si>
    <r>
      <t xml:space="preserve">Gewässerbewertung - Stehende Gewässer: </t>
    </r>
    <r>
      <rPr>
        <b/>
        <sz val="12"/>
        <color indexed="17"/>
        <rFont val="Comic Sans MS"/>
        <family val="4"/>
      </rPr>
      <t>Eintragen und rechnen lassen!</t>
    </r>
  </si>
  <si>
    <t>Tragen Sie alle fehlenden Angaben in die farbigen Felder ein!</t>
  </si>
  <si>
    <r>
      <t>I</t>
    </r>
    <r>
      <rPr>
        <b/>
        <vertAlign val="subscript"/>
        <sz val="12"/>
        <color indexed="9"/>
        <rFont val="Arial"/>
        <family val="2"/>
      </rPr>
      <t>st</t>
    </r>
  </si>
  <si>
    <r>
      <t>I</t>
    </r>
    <r>
      <rPr>
        <b/>
        <vertAlign val="subscript"/>
        <sz val="12"/>
        <color indexed="9"/>
        <rFont val="Arial"/>
        <family val="2"/>
      </rPr>
      <t>TP-FZ</t>
    </r>
  </si>
  <si>
    <r>
      <t>I</t>
    </r>
    <r>
      <rPr>
        <b/>
        <vertAlign val="subscript"/>
        <sz val="12"/>
        <color indexed="9"/>
        <rFont val="Arial"/>
        <family val="2"/>
      </rPr>
      <t>TP-SSt</t>
    </r>
  </si>
  <si>
    <t>Teil: geschichtete Seen</t>
  </si>
  <si>
    <t>Hinweise beachten unter:</t>
  </si>
  <si>
    <t>http://home.t-online.de/home/hydrobio.hw/seenbew.htm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</si>
</sst>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</numFmts>
  <fonts count="58">
    <font>
      <sz val="10"/>
      <name val="Arial"/>
      <family val="0"/>
    </font>
    <font>
      <b/>
      <sz val="14"/>
      <color indexed="17"/>
      <name val="Arial"/>
      <family val="2"/>
    </font>
    <font>
      <b/>
      <sz val="10"/>
      <color indexed="17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color indexed="57"/>
      <name val="Arial"/>
      <family val="2"/>
    </font>
    <font>
      <b/>
      <u val="single"/>
      <sz val="16"/>
      <color indexed="57"/>
      <name val="Arial"/>
      <family val="2"/>
    </font>
    <font>
      <b/>
      <sz val="12"/>
      <color indexed="57"/>
      <name val="Arial"/>
      <family val="2"/>
    </font>
    <font>
      <b/>
      <vertAlign val="subscript"/>
      <sz val="12"/>
      <color indexed="57"/>
      <name val="Arial"/>
      <family val="2"/>
    </font>
    <font>
      <sz val="10"/>
      <color indexed="22"/>
      <name val="Arial"/>
      <family val="2"/>
    </font>
    <font>
      <b/>
      <sz val="12"/>
      <color indexed="16"/>
      <name val="Arial"/>
      <family val="2"/>
    </font>
    <font>
      <b/>
      <sz val="10"/>
      <color indexed="16"/>
      <name val="Arial"/>
      <family val="2"/>
    </font>
    <font>
      <b/>
      <u val="single"/>
      <sz val="16"/>
      <color indexed="16"/>
      <name val="Arial"/>
      <family val="2"/>
    </font>
    <font>
      <sz val="8"/>
      <name val="Tahoma"/>
      <family val="0"/>
    </font>
    <font>
      <b/>
      <sz val="11"/>
      <color indexed="9"/>
      <name val="Arial"/>
      <family val="2"/>
    </font>
    <font>
      <b/>
      <u val="single"/>
      <sz val="12"/>
      <color indexed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2"/>
      <color indexed="17"/>
      <name val="Arial"/>
      <family val="2"/>
    </font>
    <font>
      <vertAlign val="superscript"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indexed="17"/>
      <name val="Arial"/>
      <family val="2"/>
    </font>
    <font>
      <b/>
      <u val="single"/>
      <sz val="10"/>
      <color indexed="17"/>
      <name val="Arial"/>
      <family val="2"/>
    </font>
    <font>
      <u val="single"/>
      <sz val="10"/>
      <color indexed="17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u val="single"/>
      <vertAlign val="superscript"/>
      <sz val="10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2"/>
      <name val="Arial"/>
      <family val="2"/>
    </font>
    <font>
      <b/>
      <u val="single"/>
      <vertAlign val="superscript"/>
      <sz val="12"/>
      <name val="Arial"/>
      <family val="2"/>
    </font>
    <font>
      <b/>
      <sz val="16"/>
      <color indexed="17"/>
      <name val="Arial"/>
      <family val="2"/>
    </font>
    <font>
      <vertAlign val="subscript"/>
      <sz val="10"/>
      <name val="Arial"/>
      <family val="2"/>
    </font>
    <font>
      <vertAlign val="subscript"/>
      <sz val="10"/>
      <color indexed="10"/>
      <name val="Arial"/>
      <family val="2"/>
    </font>
    <font>
      <sz val="14"/>
      <name val="Arial"/>
      <family val="2"/>
    </font>
    <font>
      <b/>
      <sz val="10"/>
      <color indexed="60"/>
      <name val="Arial"/>
      <family val="2"/>
    </font>
    <font>
      <b/>
      <sz val="14"/>
      <color indexed="60"/>
      <name val="Arial"/>
      <family val="2"/>
    </font>
    <font>
      <b/>
      <sz val="12"/>
      <color indexed="10"/>
      <name val="Arial"/>
      <family val="2"/>
    </font>
    <font>
      <u val="single"/>
      <sz val="10"/>
      <color indexed="36"/>
      <name val="Arial"/>
      <family val="0"/>
    </font>
    <font>
      <b/>
      <sz val="12"/>
      <color indexed="17"/>
      <name val="Comic Sans MS"/>
      <family val="4"/>
    </font>
    <font>
      <b/>
      <sz val="14"/>
      <color indexed="42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u val="single"/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u val="single"/>
      <sz val="16"/>
      <color indexed="9"/>
      <name val="Arial"/>
      <family val="2"/>
    </font>
    <font>
      <b/>
      <sz val="12"/>
      <color indexed="9"/>
      <name val="Arial"/>
      <family val="2"/>
    </font>
    <font>
      <b/>
      <vertAlign val="subscript"/>
      <sz val="12"/>
      <color indexed="9"/>
      <name val="Arial"/>
      <family val="2"/>
    </font>
    <font>
      <sz val="11"/>
      <name val="Arial"/>
      <family val="2"/>
    </font>
    <font>
      <u val="single"/>
      <sz val="8"/>
      <color indexed="12"/>
      <name val="Arial"/>
      <family val="2"/>
    </font>
    <font>
      <b/>
      <sz val="9"/>
      <color indexed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5" fillId="0" borderId="0" xfId="0" applyFont="1" applyAlignment="1">
      <alignment/>
    </xf>
    <xf numFmtId="0" fontId="5" fillId="2" borderId="3" xfId="0" applyFont="1" applyFill="1" applyBorder="1" applyAlignment="1">
      <alignment/>
    </xf>
    <xf numFmtId="0" fontId="5" fillId="0" borderId="4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5" fillId="0" borderId="5" xfId="0" applyFont="1" applyBorder="1" applyAlignment="1">
      <alignment/>
    </xf>
    <xf numFmtId="0" fontId="5" fillId="2" borderId="6" xfId="0" applyFont="1" applyFill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Border="1" applyAlignment="1">
      <alignment/>
    </xf>
    <xf numFmtId="0" fontId="12" fillId="0" borderId="0" xfId="0" applyFont="1" applyAlignment="1">
      <alignment/>
    </xf>
    <xf numFmtId="0" fontId="12" fillId="0" borderId="8" xfId="0" applyFont="1" applyBorder="1" applyAlignment="1">
      <alignment/>
    </xf>
    <xf numFmtId="164" fontId="12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3" fillId="0" borderId="4" xfId="0" applyFont="1" applyBorder="1" applyAlignment="1">
      <alignment horizontal="right"/>
    </xf>
    <xf numFmtId="0" fontId="23" fillId="0" borderId="5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5" fillId="2" borderId="13" xfId="0" applyFont="1" applyFill="1" applyBorder="1" applyAlignment="1">
      <alignment/>
    </xf>
    <xf numFmtId="0" fontId="0" fillId="2" borderId="14" xfId="0" applyFill="1" applyBorder="1" applyAlignment="1">
      <alignment/>
    </xf>
    <xf numFmtId="0" fontId="8" fillId="0" borderId="4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0" fillId="0" borderId="8" xfId="0" applyFont="1" applyBorder="1" applyAlignment="1">
      <alignment/>
    </xf>
    <xf numFmtId="0" fontId="14" fillId="0" borderId="4" xfId="0" applyFont="1" applyBorder="1" applyAlignment="1">
      <alignment horizontal="right"/>
    </xf>
    <xf numFmtId="164" fontId="15" fillId="0" borderId="0" xfId="0" applyNumberFormat="1" applyFont="1" applyBorder="1" applyAlignment="1">
      <alignment horizontal="center"/>
    </xf>
    <xf numFmtId="0" fontId="13" fillId="0" borderId="8" xfId="0" applyFont="1" applyBorder="1" applyAlignment="1">
      <alignment/>
    </xf>
    <xf numFmtId="164" fontId="22" fillId="0" borderId="0" xfId="0" applyNumberFormat="1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11" xfId="0" applyFont="1" applyBorder="1" applyAlignment="1">
      <alignment/>
    </xf>
    <xf numFmtId="0" fontId="13" fillId="0" borderId="0" xfId="0" applyFont="1" applyBorder="1" applyAlignment="1">
      <alignment horizontal="right"/>
    </xf>
    <xf numFmtId="164" fontId="13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6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6" fillId="0" borderId="18" xfId="0" applyFont="1" applyBorder="1" applyAlignment="1">
      <alignment/>
    </xf>
    <xf numFmtId="0" fontId="0" fillId="2" borderId="3" xfId="0" applyFill="1" applyBorder="1" applyAlignment="1">
      <alignment/>
    </xf>
    <xf numFmtId="0" fontId="28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28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30" fillId="0" borderId="3" xfId="0" applyFont="1" applyBorder="1" applyAlignment="1">
      <alignment/>
    </xf>
    <xf numFmtId="0" fontId="29" fillId="0" borderId="3" xfId="0" applyFont="1" applyBorder="1" applyAlignment="1">
      <alignment horizontal="left"/>
    </xf>
    <xf numFmtId="0" fontId="31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12" xfId="0" applyBorder="1" applyAlignment="1">
      <alignment/>
    </xf>
    <xf numFmtId="0" fontId="0" fillId="0" borderId="7" xfId="0" applyBorder="1" applyAlignment="1">
      <alignment/>
    </xf>
    <xf numFmtId="0" fontId="29" fillId="0" borderId="21" xfId="0" applyFont="1" applyBorder="1" applyAlignment="1">
      <alignment horizontal="right"/>
    </xf>
    <xf numFmtId="0" fontId="29" fillId="0" borderId="22" xfId="0" applyFont="1" applyBorder="1" applyAlignment="1">
      <alignment/>
    </xf>
    <xf numFmtId="0" fontId="32" fillId="0" borderId="23" xfId="0" applyFont="1" applyBorder="1" applyAlignment="1">
      <alignment/>
    </xf>
    <xf numFmtId="0" fontId="21" fillId="0" borderId="5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7" xfId="0" applyFont="1" applyBorder="1" applyAlignment="1">
      <alignment/>
    </xf>
    <xf numFmtId="0" fontId="34" fillId="0" borderId="21" xfId="0" applyFont="1" applyBorder="1" applyAlignment="1">
      <alignment horizontal="right"/>
    </xf>
    <xf numFmtId="0" fontId="35" fillId="0" borderId="23" xfId="0" applyFont="1" applyBorder="1" applyAlignment="1">
      <alignment/>
    </xf>
    <xf numFmtId="0" fontId="37" fillId="0" borderId="5" xfId="0" applyFont="1" applyBorder="1" applyAlignment="1">
      <alignment/>
    </xf>
    <xf numFmtId="0" fontId="0" fillId="0" borderId="0" xfId="0" applyBorder="1" applyAlignment="1">
      <alignment horizontal="left"/>
    </xf>
    <xf numFmtId="0" fontId="12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right"/>
    </xf>
    <xf numFmtId="164" fontId="34" fillId="0" borderId="22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4" fillId="0" borderId="8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4" xfId="0" applyBorder="1" applyAlignment="1">
      <alignment/>
    </xf>
    <xf numFmtId="0" fontId="0" fillId="0" borderId="24" xfId="0" applyBorder="1" applyAlignment="1">
      <alignment/>
    </xf>
    <xf numFmtId="0" fontId="25" fillId="0" borderId="25" xfId="0" applyFont="1" applyBorder="1" applyAlignment="1">
      <alignment/>
    </xf>
    <xf numFmtId="0" fontId="27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29" fillId="0" borderId="25" xfId="0" applyFont="1" applyBorder="1" applyAlignment="1">
      <alignment horizontal="right"/>
    </xf>
    <xf numFmtId="0" fontId="31" fillId="0" borderId="8" xfId="0" applyFont="1" applyBorder="1" applyAlignment="1">
      <alignment/>
    </xf>
    <xf numFmtId="0" fontId="40" fillId="3" borderId="8" xfId="0" applyFont="1" applyFill="1" applyBorder="1" applyAlignment="1">
      <alignment/>
    </xf>
    <xf numFmtId="0" fontId="1" fillId="0" borderId="27" xfId="0" applyFont="1" applyBorder="1" applyAlignment="1">
      <alignment/>
    </xf>
    <xf numFmtId="0" fontId="0" fillId="0" borderId="28" xfId="0" applyBorder="1" applyAlignment="1">
      <alignment/>
    </xf>
    <xf numFmtId="0" fontId="18" fillId="0" borderId="28" xfId="18" applyFont="1" applyBorder="1" applyAlignment="1">
      <alignment/>
    </xf>
    <xf numFmtId="0" fontId="19" fillId="0" borderId="28" xfId="0" applyFont="1" applyBorder="1" applyAlignment="1">
      <alignment/>
    </xf>
    <xf numFmtId="0" fontId="19" fillId="0" borderId="29" xfId="0" applyFont="1" applyBorder="1" applyAlignment="1">
      <alignment/>
    </xf>
    <xf numFmtId="0" fontId="20" fillId="3" borderId="27" xfId="0" applyFont="1" applyFill="1" applyBorder="1" applyAlignment="1">
      <alignment horizontal="right"/>
    </xf>
    <xf numFmtId="0" fontId="20" fillId="3" borderId="12" xfId="0" applyFont="1" applyFill="1" applyBorder="1" applyAlignment="1">
      <alignment horizontal="left"/>
    </xf>
    <xf numFmtId="0" fontId="20" fillId="3" borderId="7" xfId="0" applyFont="1" applyFill="1" applyBorder="1" applyAlignment="1">
      <alignment/>
    </xf>
    <xf numFmtId="0" fontId="20" fillId="3" borderId="28" xfId="0" applyFont="1" applyFill="1" applyBorder="1" applyAlignment="1">
      <alignment horizontal="right"/>
    </xf>
    <xf numFmtId="0" fontId="20" fillId="3" borderId="0" xfId="0" applyFont="1" applyFill="1" applyBorder="1" applyAlignment="1">
      <alignment horizontal="left"/>
    </xf>
    <xf numFmtId="0" fontId="20" fillId="3" borderId="8" xfId="0" applyFont="1" applyFill="1" applyBorder="1" applyAlignment="1">
      <alignment/>
    </xf>
    <xf numFmtId="0" fontId="20" fillId="3" borderId="29" xfId="0" applyFont="1" applyFill="1" applyBorder="1" applyAlignment="1">
      <alignment horizontal="right"/>
    </xf>
    <xf numFmtId="0" fontId="20" fillId="3" borderId="30" xfId="0" applyFont="1" applyFill="1" applyBorder="1" applyAlignment="1">
      <alignment horizontal="left"/>
    </xf>
    <xf numFmtId="0" fontId="20" fillId="3" borderId="11" xfId="0" applyFont="1" applyFill="1" applyBorder="1" applyAlignment="1">
      <alignment/>
    </xf>
    <xf numFmtId="0" fontId="13" fillId="3" borderId="5" xfId="0" applyFont="1" applyFill="1" applyBorder="1" applyAlignment="1">
      <alignment horizontal="right"/>
    </xf>
    <xf numFmtId="164" fontId="13" fillId="3" borderId="7" xfId="0" applyNumberFormat="1" applyFont="1" applyFill="1" applyBorder="1" applyAlignment="1">
      <alignment horizontal="left"/>
    </xf>
    <xf numFmtId="0" fontId="13" fillId="3" borderId="4" xfId="0" applyFont="1" applyFill="1" applyBorder="1" applyAlignment="1">
      <alignment horizontal="right"/>
    </xf>
    <xf numFmtId="164" fontId="13" fillId="3" borderId="8" xfId="0" applyNumberFormat="1" applyFont="1" applyFill="1" applyBorder="1" applyAlignment="1">
      <alignment horizontal="left"/>
    </xf>
    <xf numFmtId="0" fontId="13" fillId="3" borderId="9" xfId="0" applyFont="1" applyFill="1" applyBorder="1" applyAlignment="1">
      <alignment horizontal="right"/>
    </xf>
    <xf numFmtId="164" fontId="13" fillId="3" borderId="11" xfId="0" applyNumberFormat="1" applyFont="1" applyFill="1" applyBorder="1" applyAlignment="1">
      <alignment horizontal="left"/>
    </xf>
    <xf numFmtId="164" fontId="29" fillId="0" borderId="22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21" fillId="0" borderId="12" xfId="0" applyNumberFormat="1" applyFont="1" applyBorder="1" applyAlignment="1">
      <alignment/>
    </xf>
    <xf numFmtId="0" fontId="41" fillId="0" borderId="0" xfId="0" applyFont="1" applyAlignment="1">
      <alignment/>
    </xf>
    <xf numFmtId="0" fontId="43" fillId="0" borderId="0" xfId="0" applyFont="1" applyBorder="1" applyAlignment="1">
      <alignment horizontal="left"/>
    </xf>
    <xf numFmtId="0" fontId="41" fillId="3" borderId="0" xfId="0" applyFont="1" applyFill="1" applyAlignment="1">
      <alignment/>
    </xf>
    <xf numFmtId="0" fontId="1" fillId="0" borderId="0" xfId="0" applyFont="1" applyBorder="1" applyAlignment="1">
      <alignment/>
    </xf>
    <xf numFmtId="0" fontId="6" fillId="3" borderId="3" xfId="18" applyFill="1" applyBorder="1" applyAlignment="1">
      <alignment horizontal="center"/>
    </xf>
    <xf numFmtId="0" fontId="4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41" fillId="3" borderId="31" xfId="0" applyFont="1" applyFill="1" applyBorder="1" applyAlignment="1">
      <alignment horizontal="center"/>
    </xf>
    <xf numFmtId="0" fontId="41" fillId="3" borderId="32" xfId="0" applyFont="1" applyFill="1" applyBorder="1" applyAlignment="1">
      <alignment horizontal="center"/>
    </xf>
    <xf numFmtId="164" fontId="42" fillId="3" borderId="6" xfId="0" applyNumberFormat="1" applyFont="1" applyFill="1" applyBorder="1" applyAlignment="1">
      <alignment horizontal="center"/>
    </xf>
    <xf numFmtId="0" fontId="41" fillId="3" borderId="6" xfId="0" applyFont="1" applyFill="1" applyBorder="1" applyAlignment="1">
      <alignment horizontal="center"/>
    </xf>
    <xf numFmtId="0" fontId="41" fillId="3" borderId="25" xfId="0" applyFont="1" applyFill="1" applyBorder="1" applyAlignment="1">
      <alignment horizontal="center"/>
    </xf>
    <xf numFmtId="0" fontId="41" fillId="3" borderId="19" xfId="0" applyFont="1" applyFill="1" applyBorder="1" applyAlignment="1">
      <alignment horizontal="center"/>
    </xf>
    <xf numFmtId="164" fontId="41" fillId="3" borderId="3" xfId="0" applyNumberFormat="1" applyFont="1" applyFill="1" applyBorder="1" applyAlignment="1">
      <alignment horizontal="center"/>
    </xf>
    <xf numFmtId="0" fontId="41" fillId="3" borderId="3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left"/>
    </xf>
    <xf numFmtId="164" fontId="4" fillId="3" borderId="25" xfId="0" applyNumberFormat="1" applyFont="1" applyFill="1" applyBorder="1" applyAlignment="1">
      <alignment horizontal="center"/>
    </xf>
    <xf numFmtId="164" fontId="25" fillId="3" borderId="19" xfId="0" applyNumberFormat="1" applyFont="1" applyFill="1" applyBorder="1" applyAlignment="1">
      <alignment horizontal="center"/>
    </xf>
    <xf numFmtId="0" fontId="25" fillId="3" borderId="25" xfId="0" applyFont="1" applyFill="1" applyBorder="1" applyAlignment="1">
      <alignment horizontal="center"/>
    </xf>
    <xf numFmtId="0" fontId="25" fillId="3" borderId="19" xfId="0" applyFont="1" applyFill="1" applyBorder="1" applyAlignment="1">
      <alignment horizontal="center"/>
    </xf>
    <xf numFmtId="1" fontId="26" fillId="3" borderId="3" xfId="0" applyNumberFormat="1" applyFont="1" applyFill="1" applyBorder="1" applyAlignment="1">
      <alignment horizontal="center"/>
    </xf>
    <xf numFmtId="1" fontId="41" fillId="3" borderId="3" xfId="0" applyNumberFormat="1" applyFont="1" applyFill="1" applyBorder="1" applyAlignment="1">
      <alignment horizontal="center"/>
    </xf>
    <xf numFmtId="0" fontId="25" fillId="3" borderId="33" xfId="0" applyFont="1" applyFill="1" applyBorder="1" applyAlignment="1">
      <alignment horizontal="center"/>
    </xf>
    <xf numFmtId="0" fontId="25" fillId="3" borderId="34" xfId="0" applyFont="1" applyFill="1" applyBorder="1" applyAlignment="1">
      <alignment horizontal="center"/>
    </xf>
    <xf numFmtId="164" fontId="25" fillId="3" borderId="10" xfId="0" applyNumberFormat="1" applyFont="1" applyFill="1" applyBorder="1" applyAlignment="1">
      <alignment horizontal="left"/>
    </xf>
    <xf numFmtId="0" fontId="41" fillId="3" borderId="10" xfId="0" applyFont="1" applyFill="1" applyBorder="1" applyAlignment="1">
      <alignment horizontal="center"/>
    </xf>
    <xf numFmtId="1" fontId="42" fillId="4" borderId="4" xfId="0" applyNumberFormat="1" applyFont="1" applyFill="1" applyBorder="1" applyAlignment="1">
      <alignment horizontal="right"/>
    </xf>
    <xf numFmtId="0" fontId="42" fillId="0" borderId="0" xfId="0" applyFont="1" applyFill="1" applyBorder="1" applyAlignment="1">
      <alignment horizontal="right"/>
    </xf>
    <xf numFmtId="164" fontId="42" fillId="0" borderId="0" xfId="0" applyNumberFormat="1" applyFont="1" applyFill="1" applyBorder="1" applyAlignment="1">
      <alignment horizontal="left"/>
    </xf>
    <xf numFmtId="0" fontId="42" fillId="0" borderId="0" xfId="0" applyFont="1" applyFill="1" applyBorder="1" applyAlignment="1">
      <alignment/>
    </xf>
    <xf numFmtId="0" fontId="42" fillId="0" borderId="0" xfId="0" applyFont="1" applyFill="1" applyAlignment="1">
      <alignment/>
    </xf>
    <xf numFmtId="1" fontId="42" fillId="4" borderId="5" xfId="0" applyNumberFormat="1" applyFont="1" applyFill="1" applyBorder="1" applyAlignment="1">
      <alignment horizontal="right"/>
    </xf>
    <xf numFmtId="1" fontId="42" fillId="4" borderId="12" xfId="0" applyNumberFormat="1" applyFont="1" applyFill="1" applyBorder="1" applyAlignment="1">
      <alignment horizontal="left"/>
    </xf>
    <xf numFmtId="1" fontId="42" fillId="4" borderId="12" xfId="0" applyNumberFormat="1" applyFont="1" applyFill="1" applyBorder="1" applyAlignment="1">
      <alignment/>
    </xf>
    <xf numFmtId="1" fontId="42" fillId="4" borderId="0" xfId="0" applyNumberFormat="1" applyFont="1" applyFill="1" applyBorder="1" applyAlignment="1">
      <alignment horizontal="left"/>
    </xf>
    <xf numFmtId="1" fontId="42" fillId="4" borderId="0" xfId="0" applyNumberFormat="1" applyFont="1" applyFill="1" applyBorder="1" applyAlignment="1">
      <alignment/>
    </xf>
    <xf numFmtId="1" fontId="42" fillId="4" borderId="8" xfId="0" applyNumberFormat="1" applyFont="1" applyFill="1" applyBorder="1" applyAlignment="1">
      <alignment/>
    </xf>
    <xf numFmtId="1" fontId="42" fillId="4" borderId="9" xfId="0" applyNumberFormat="1" applyFont="1" applyFill="1" applyBorder="1" applyAlignment="1">
      <alignment horizontal="right"/>
    </xf>
    <xf numFmtId="1" fontId="42" fillId="4" borderId="30" xfId="0" applyNumberFormat="1" applyFont="1" applyFill="1" applyBorder="1" applyAlignment="1">
      <alignment horizontal="left"/>
    </xf>
    <xf numFmtId="1" fontId="42" fillId="4" borderId="30" xfId="0" applyNumberFormat="1" applyFont="1" applyFill="1" applyBorder="1" applyAlignment="1">
      <alignment/>
    </xf>
    <xf numFmtId="1" fontId="42" fillId="4" borderId="11" xfId="0" applyNumberFormat="1" applyFont="1" applyFill="1" applyBorder="1" applyAlignment="1">
      <alignment/>
    </xf>
    <xf numFmtId="1" fontId="46" fillId="4" borderId="7" xfId="0" applyNumberFormat="1" applyFont="1" applyFill="1" applyBorder="1" applyAlignment="1">
      <alignment horizontal="right"/>
    </xf>
    <xf numFmtId="0" fontId="47" fillId="0" borderId="0" xfId="0" applyFont="1" applyFill="1" applyBorder="1" applyAlignment="1">
      <alignment horizontal="right"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19" fillId="0" borderId="35" xfId="0" applyFont="1" applyBorder="1" applyAlignment="1">
      <alignment/>
    </xf>
    <xf numFmtId="0" fontId="19" fillId="0" borderId="36" xfId="0" applyFont="1" applyBorder="1" applyAlignment="1">
      <alignment/>
    </xf>
    <xf numFmtId="0" fontId="19" fillId="0" borderId="37" xfId="0" applyFont="1" applyBorder="1" applyAlignment="1">
      <alignment/>
    </xf>
    <xf numFmtId="164" fontId="19" fillId="0" borderId="5" xfId="0" applyNumberFormat="1" applyFont="1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7" xfId="0" applyFont="1" applyBorder="1" applyAlignment="1">
      <alignment/>
    </xf>
    <xf numFmtId="164" fontId="19" fillId="0" borderId="4" xfId="0" applyNumberFormat="1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8" xfId="0" applyFont="1" applyBorder="1" applyAlignment="1">
      <alignment/>
    </xf>
    <xf numFmtId="164" fontId="19" fillId="0" borderId="9" xfId="0" applyNumberFormat="1" applyFont="1" applyBorder="1" applyAlignment="1">
      <alignment/>
    </xf>
    <xf numFmtId="0" fontId="19" fillId="0" borderId="30" xfId="0" applyFont="1" applyBorder="1" applyAlignment="1">
      <alignment horizontal="center"/>
    </xf>
    <xf numFmtId="0" fontId="19" fillId="0" borderId="11" xfId="0" applyFont="1" applyBorder="1" applyAlignment="1">
      <alignment/>
    </xf>
    <xf numFmtId="164" fontId="19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/>
    </xf>
    <xf numFmtId="0" fontId="19" fillId="0" borderId="35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Fill="1" applyBorder="1" applyAlignment="1">
      <alignment/>
    </xf>
    <xf numFmtId="164" fontId="19" fillId="0" borderId="5" xfId="0" applyNumberFormat="1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9" fillId="0" borderId="7" xfId="0" applyFont="1" applyFill="1" applyBorder="1" applyAlignment="1">
      <alignment/>
    </xf>
    <xf numFmtId="164" fontId="19" fillId="0" borderId="4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8" xfId="0" applyFont="1" applyFill="1" applyBorder="1" applyAlignment="1">
      <alignment/>
    </xf>
    <xf numFmtId="164" fontId="19" fillId="0" borderId="9" xfId="0" applyNumberFormat="1" applyFont="1" applyFill="1" applyBorder="1" applyAlignment="1">
      <alignment/>
    </xf>
    <xf numFmtId="0" fontId="19" fillId="0" borderId="30" xfId="0" applyFont="1" applyFill="1" applyBorder="1" applyAlignment="1">
      <alignment horizontal="center"/>
    </xf>
    <xf numFmtId="0" fontId="19" fillId="0" borderId="11" xfId="0" applyFont="1" applyFill="1" applyBorder="1" applyAlignment="1">
      <alignment/>
    </xf>
    <xf numFmtId="164" fontId="19" fillId="0" borderId="0" xfId="0" applyNumberFormat="1" applyFont="1" applyFill="1" applyAlignment="1">
      <alignment/>
    </xf>
    <xf numFmtId="0" fontId="19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19" fillId="0" borderId="38" xfId="0" applyFont="1" applyFill="1" applyBorder="1" applyAlignment="1">
      <alignment/>
    </xf>
    <xf numFmtId="0" fontId="19" fillId="0" borderId="1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0" fontId="18" fillId="0" borderId="0" xfId="18" applyFont="1" applyFill="1" applyAlignment="1">
      <alignment/>
    </xf>
    <xf numFmtId="0" fontId="19" fillId="0" borderId="4" xfId="0" applyFont="1" applyFill="1" applyBorder="1" applyAlignment="1">
      <alignment/>
    </xf>
    <xf numFmtId="0" fontId="19" fillId="0" borderId="3" xfId="0" applyFont="1" applyFill="1" applyBorder="1" applyAlignment="1">
      <alignment/>
    </xf>
    <xf numFmtId="0" fontId="51" fillId="0" borderId="4" xfId="0" applyFont="1" applyFill="1" applyBorder="1" applyAlignment="1">
      <alignment/>
    </xf>
    <xf numFmtId="0" fontId="50" fillId="0" borderId="0" xfId="0" applyFont="1" applyFill="1" applyAlignment="1">
      <alignment horizontal="right"/>
    </xf>
    <xf numFmtId="0" fontId="52" fillId="0" borderId="0" xfId="0" applyFont="1" applyFill="1" applyAlignment="1">
      <alignment horizontal="center"/>
    </xf>
    <xf numFmtId="0" fontId="53" fillId="0" borderId="0" xfId="0" applyFont="1" applyFill="1" applyAlignment="1">
      <alignment/>
    </xf>
    <xf numFmtId="0" fontId="14" fillId="3" borderId="6" xfId="0" applyFont="1" applyFill="1" applyBorder="1" applyAlignment="1">
      <alignment horizontal="center"/>
    </xf>
    <xf numFmtId="0" fontId="14" fillId="3" borderId="39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4" fillId="3" borderId="40" xfId="0" applyFont="1" applyFill="1" applyBorder="1" applyAlignment="1">
      <alignment horizontal="center"/>
    </xf>
    <xf numFmtId="164" fontId="14" fillId="3" borderId="3" xfId="0" applyNumberFormat="1" applyFont="1" applyFill="1" applyBorder="1" applyAlignment="1">
      <alignment horizontal="center"/>
    </xf>
    <xf numFmtId="164" fontId="14" fillId="3" borderId="40" xfId="0" applyNumberFormat="1" applyFont="1" applyFill="1" applyBorder="1" applyAlignment="1">
      <alignment horizontal="center"/>
    </xf>
    <xf numFmtId="0" fontId="26" fillId="3" borderId="3" xfId="0" applyFont="1" applyFill="1" applyBorder="1" applyAlignment="1">
      <alignment horizontal="center"/>
    </xf>
    <xf numFmtId="0" fontId="26" fillId="3" borderId="40" xfId="0" applyFont="1" applyFill="1" applyBorder="1" applyAlignment="1">
      <alignment horizontal="center"/>
    </xf>
    <xf numFmtId="1" fontId="26" fillId="3" borderId="40" xfId="0" applyNumberFormat="1" applyFont="1" applyFill="1" applyBorder="1" applyAlignment="1">
      <alignment horizontal="center"/>
    </xf>
    <xf numFmtId="0" fontId="26" fillId="3" borderId="10" xfId="0" applyFont="1" applyFill="1" applyBorder="1" applyAlignment="1">
      <alignment horizontal="center"/>
    </xf>
    <xf numFmtId="0" fontId="26" fillId="3" borderId="41" xfId="0" applyFont="1" applyFill="1" applyBorder="1" applyAlignment="1">
      <alignment horizontal="center"/>
    </xf>
    <xf numFmtId="0" fontId="55" fillId="0" borderId="4" xfId="0" applyFont="1" applyBorder="1" applyAlignment="1">
      <alignment/>
    </xf>
    <xf numFmtId="0" fontId="56" fillId="0" borderId="0" xfId="18" applyFont="1" applyBorder="1" applyAlignment="1">
      <alignment/>
    </xf>
    <xf numFmtId="0" fontId="57" fillId="0" borderId="0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1133475</xdr:colOff>
      <xdr:row>52</xdr:row>
      <xdr:rowOff>152400</xdr:rowOff>
    </xdr:from>
    <xdr:to>
      <xdr:col>4</xdr:col>
      <xdr:colOff>266700</xdr:colOff>
      <xdr:row>52</xdr:row>
      <xdr:rowOff>152400</xdr:rowOff>
    </xdr:to>
    <xdr:sp>
      <xdr:nvSpPr>
        <xdr:cNvPr id="1" name="Line 3"/>
        <xdr:cNvSpPr>
          <a:spLocks/>
        </xdr:cNvSpPr>
      </xdr:nvSpPr>
      <xdr:spPr>
        <a:xfrm flipV="1">
          <a:off x="4619625" y="96393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51</xdr:row>
      <xdr:rowOff>38100</xdr:rowOff>
    </xdr:from>
    <xdr:to>
      <xdr:col>3</xdr:col>
      <xdr:colOff>200025</xdr:colOff>
      <xdr:row>55</xdr:row>
      <xdr:rowOff>133350</xdr:rowOff>
    </xdr:to>
    <xdr:sp>
      <xdr:nvSpPr>
        <xdr:cNvPr id="2" name="Line 4"/>
        <xdr:cNvSpPr>
          <a:spLocks/>
        </xdr:cNvSpPr>
      </xdr:nvSpPr>
      <xdr:spPr>
        <a:xfrm>
          <a:off x="5191125" y="936307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1143000</xdr:colOff>
      <xdr:row>50</xdr:row>
      <xdr:rowOff>142875</xdr:rowOff>
    </xdr:from>
    <xdr:to>
      <xdr:col>4</xdr:col>
      <xdr:colOff>276225</xdr:colOff>
      <xdr:row>55</xdr:row>
      <xdr:rowOff>123825</xdr:rowOff>
    </xdr:to>
    <xdr:sp>
      <xdr:nvSpPr>
        <xdr:cNvPr id="3" name="Polygon 5"/>
        <xdr:cNvSpPr>
          <a:spLocks/>
        </xdr:cNvSpPr>
      </xdr:nvSpPr>
      <xdr:spPr>
        <a:xfrm>
          <a:off x="4629150" y="9286875"/>
          <a:ext cx="1895475" cy="885825"/>
        </a:xfrm>
        <a:custGeom>
          <a:pathLst>
            <a:path h="85" w="138">
              <a:moveTo>
                <a:pt x="0" y="34"/>
              </a:moveTo>
              <a:cubicBezTo>
                <a:pt x="2" y="27"/>
                <a:pt x="1" y="30"/>
                <a:pt x="3" y="26"/>
              </a:cubicBezTo>
              <a:lnTo>
                <a:pt x="15" y="7"/>
              </a:lnTo>
              <a:lnTo>
                <a:pt x="31" y="0"/>
              </a:lnTo>
              <a:lnTo>
                <a:pt x="49" y="8"/>
              </a:lnTo>
              <a:lnTo>
                <a:pt x="70" y="22"/>
              </a:lnTo>
              <a:lnTo>
                <a:pt x="84" y="22"/>
              </a:lnTo>
              <a:lnTo>
                <a:pt x="98" y="11"/>
              </a:lnTo>
              <a:lnTo>
                <a:pt x="104" y="5"/>
              </a:lnTo>
              <a:lnTo>
                <a:pt x="120" y="8"/>
              </a:lnTo>
              <a:lnTo>
                <a:pt x="138" y="29"/>
              </a:lnTo>
              <a:lnTo>
                <a:pt x="136" y="55"/>
              </a:lnTo>
              <a:lnTo>
                <a:pt x="120" y="71"/>
              </a:lnTo>
              <a:lnTo>
                <a:pt x="50" y="85"/>
              </a:lnTo>
              <a:lnTo>
                <a:pt x="33" y="80"/>
              </a:lnTo>
              <a:lnTo>
                <a:pt x="0" y="63"/>
              </a:lnTo>
              <a:lnTo>
                <a:pt x="0" y="34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52</xdr:row>
      <xdr:rowOff>114300</xdr:rowOff>
    </xdr:from>
    <xdr:to>
      <xdr:col>4</xdr:col>
      <xdr:colOff>85725</xdr:colOff>
      <xdr:row>53</xdr:row>
      <xdr:rowOff>114300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5476875" y="9601200"/>
          <a:ext cx="8572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eff</a:t>
          </a:r>
        </a:p>
      </xdr:txBody>
    </xdr:sp>
    <xdr:clientData/>
  </xdr:twoCellAnchor>
  <xdr:twoCellAnchor>
    <xdr:from>
      <xdr:col>3</xdr:col>
      <xdr:colOff>28575</xdr:colOff>
      <xdr:row>53</xdr:row>
      <xdr:rowOff>152400</xdr:rowOff>
    </xdr:from>
    <xdr:to>
      <xdr:col>3</xdr:col>
      <xdr:colOff>390525</xdr:colOff>
      <xdr:row>55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5019675" y="9839325"/>
          <a:ext cx="3619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eff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ome.t-online.de/home/hydrobio.hw/seenbew.ht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354"/>
  <sheetViews>
    <sheetView tabSelected="1" workbookViewId="0" topLeftCell="A21">
      <selection activeCell="B39" sqref="B39"/>
    </sheetView>
  </sheetViews>
  <sheetFormatPr defaultColWidth="11.421875" defaultRowHeight="12.75"/>
  <cols>
    <col min="1" max="1" width="30.140625" style="0" customWidth="1"/>
    <col min="2" max="2" width="22.140625" style="0" customWidth="1"/>
    <col min="3" max="3" width="22.57421875" style="0" customWidth="1"/>
    <col min="4" max="4" width="18.8515625" style="0" customWidth="1"/>
    <col min="7" max="7" width="12.140625" style="174" customWidth="1"/>
    <col min="8" max="8" width="13.140625" style="174" customWidth="1"/>
    <col min="9" max="9" width="21.28125" style="174" customWidth="1"/>
    <col min="10" max="12" width="11.421875" style="174" customWidth="1"/>
    <col min="13" max="13" width="30.140625" style="174" customWidth="1"/>
    <col min="14" max="14" width="22.140625" style="174" customWidth="1"/>
    <col min="15" max="15" width="21.28125" style="174" customWidth="1"/>
    <col min="16" max="18" width="11.421875" style="174" customWidth="1"/>
    <col min="19" max="19" width="30.140625" style="174" customWidth="1"/>
    <col min="20" max="20" width="22.140625" style="174" customWidth="1"/>
    <col min="21" max="21" width="21.28125" style="174" customWidth="1"/>
    <col min="22" max="68" width="11.421875" style="174" customWidth="1"/>
  </cols>
  <sheetData>
    <row r="1" spans="1:68" s="1" customFormat="1" ht="19.5">
      <c r="A1" s="79" t="s">
        <v>117</v>
      </c>
      <c r="B1" s="26"/>
      <c r="C1" s="26"/>
      <c r="D1" s="26"/>
      <c r="E1" s="119" t="s">
        <v>40</v>
      </c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</row>
    <row r="2" spans="1:68" s="1" customFormat="1" ht="18">
      <c r="A2" s="213" t="s">
        <v>122</v>
      </c>
      <c r="B2" s="215" t="s">
        <v>123</v>
      </c>
      <c r="C2" s="214" t="s">
        <v>124</v>
      </c>
      <c r="D2" s="118"/>
      <c r="E2" s="119" t="s">
        <v>74</v>
      </c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</row>
    <row r="3" spans="1:5" ht="12.75">
      <c r="A3" s="28" t="s">
        <v>39</v>
      </c>
      <c r="B3" s="29"/>
      <c r="C3" s="29"/>
      <c r="D3" s="29"/>
      <c r="E3" s="119" t="s">
        <v>91</v>
      </c>
    </row>
    <row r="4" spans="1:68" s="2" customFormat="1" ht="18">
      <c r="A4" s="31" t="s">
        <v>94</v>
      </c>
      <c r="B4" s="32"/>
      <c r="C4" s="32"/>
      <c r="D4" s="120"/>
      <c r="E4" s="119" t="s">
        <v>111</v>
      </c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89"/>
      <c r="BF4" s="189"/>
      <c r="BG4" s="189"/>
      <c r="BH4" s="189"/>
      <c r="BI4" s="189"/>
      <c r="BJ4" s="189"/>
      <c r="BK4" s="189"/>
      <c r="BL4" s="189"/>
      <c r="BM4" s="189"/>
      <c r="BN4" s="189"/>
      <c r="BO4" s="189"/>
      <c r="BP4" s="189"/>
    </row>
    <row r="5" spans="1:5" ht="18">
      <c r="A5" s="34" t="s">
        <v>0</v>
      </c>
      <c r="B5" s="4"/>
      <c r="C5" s="5"/>
      <c r="D5" s="120" t="s">
        <v>40</v>
      </c>
      <c r="E5" s="119" t="s">
        <v>112</v>
      </c>
    </row>
    <row r="6" spans="1:5" ht="12.75">
      <c r="A6" s="8"/>
      <c r="B6" s="29"/>
      <c r="C6" s="29"/>
      <c r="D6" s="29"/>
      <c r="E6" s="119" t="s">
        <v>88</v>
      </c>
    </row>
    <row r="7" spans="1:5" ht="12.75">
      <c r="A7" s="8" t="s">
        <v>41</v>
      </c>
      <c r="B7" s="7"/>
      <c r="C7" s="81" t="s">
        <v>42</v>
      </c>
      <c r="D7" s="81"/>
      <c r="E7" s="119" t="s">
        <v>89</v>
      </c>
    </row>
    <row r="8" spans="1:5" ht="14.25">
      <c r="A8" s="8" t="s">
        <v>43</v>
      </c>
      <c r="B8" s="7"/>
      <c r="C8" s="81" t="s">
        <v>44</v>
      </c>
      <c r="D8" s="81"/>
      <c r="E8" s="119" t="s">
        <v>90</v>
      </c>
    </row>
    <row r="9" spans="1:5" ht="14.25">
      <c r="A9" s="8" t="s">
        <v>45</v>
      </c>
      <c r="B9" s="7"/>
      <c r="C9" s="81" t="s">
        <v>46</v>
      </c>
      <c r="D9" s="81"/>
      <c r="E9" s="119" t="s">
        <v>95</v>
      </c>
    </row>
    <row r="10" spans="1:5" ht="12.75">
      <c r="A10" s="8"/>
      <c r="B10" s="81"/>
      <c r="C10" s="81"/>
      <c r="D10" s="14"/>
      <c r="E10" s="6"/>
    </row>
    <row r="11" spans="1:5" ht="12.75">
      <c r="A11" s="8" t="s">
        <v>47</v>
      </c>
      <c r="B11" s="81"/>
      <c r="C11" s="81"/>
      <c r="D11" s="14"/>
      <c r="E11" s="6"/>
    </row>
    <row r="12" spans="1:4" ht="18">
      <c r="A12" s="34" t="s">
        <v>0</v>
      </c>
      <c r="B12" s="4"/>
      <c r="C12" s="5"/>
      <c r="D12" s="80" t="s">
        <v>74</v>
      </c>
    </row>
    <row r="13" spans="1:4" ht="12.75">
      <c r="A13" s="82" t="s">
        <v>48</v>
      </c>
      <c r="B13" s="29"/>
      <c r="C13" s="48"/>
      <c r="D13" s="30"/>
    </row>
    <row r="14" spans="1:4" ht="12.75">
      <c r="A14" s="83"/>
      <c r="B14" s="49"/>
      <c r="C14" s="50"/>
      <c r="D14" s="30"/>
    </row>
    <row r="15" spans="1:4" ht="12.75">
      <c r="A15" s="84" t="s">
        <v>49</v>
      </c>
      <c r="B15" s="51" t="s">
        <v>50</v>
      </c>
      <c r="C15" s="52" t="s">
        <v>51</v>
      </c>
      <c r="D15" s="30"/>
    </row>
    <row r="16" spans="1:4" ht="12.75">
      <c r="A16" s="85" t="s">
        <v>52</v>
      </c>
      <c r="B16" s="53"/>
      <c r="C16" s="52"/>
      <c r="D16" s="30"/>
    </row>
    <row r="17" spans="1:4" ht="12.75">
      <c r="A17" s="86" t="s">
        <v>53</v>
      </c>
      <c r="B17" s="54"/>
      <c r="C17" s="55">
        <f>B17*0.05</f>
        <v>0</v>
      </c>
      <c r="D17" s="30"/>
    </row>
    <row r="18" spans="1:4" ht="12.75">
      <c r="A18" s="86" t="s">
        <v>54</v>
      </c>
      <c r="B18" s="54"/>
      <c r="C18" s="55">
        <f>B18*0.2</f>
        <v>0</v>
      </c>
      <c r="D18" s="30"/>
    </row>
    <row r="19" spans="1:4" ht="12.75">
      <c r="A19" s="85" t="s">
        <v>55</v>
      </c>
      <c r="B19" s="56"/>
      <c r="C19" s="57"/>
      <c r="D19" s="30"/>
    </row>
    <row r="20" spans="1:4" ht="12.75">
      <c r="A20" s="87" t="s">
        <v>56</v>
      </c>
      <c r="B20" s="54"/>
      <c r="C20" s="57">
        <f>B20*0.05</f>
        <v>0</v>
      </c>
      <c r="D20" s="30"/>
    </row>
    <row r="21" spans="1:4" ht="12.75">
      <c r="A21" s="87" t="s">
        <v>57</v>
      </c>
      <c r="B21" s="54"/>
      <c r="C21" s="57">
        <f>B21*0.1</f>
        <v>0</v>
      </c>
      <c r="D21" s="30"/>
    </row>
    <row r="22" spans="1:4" ht="12.75">
      <c r="A22" s="87" t="s">
        <v>58</v>
      </c>
      <c r="B22" s="54"/>
      <c r="C22" s="57">
        <f>B22*0.2</f>
        <v>0</v>
      </c>
      <c r="D22" s="30"/>
    </row>
    <row r="23" spans="1:4" ht="12.75">
      <c r="A23" s="87" t="s">
        <v>59</v>
      </c>
      <c r="B23" s="54"/>
      <c r="C23" s="57">
        <f>B23*1.5</f>
        <v>0</v>
      </c>
      <c r="D23" s="30"/>
    </row>
    <row r="24" spans="1:4" ht="12.75">
      <c r="A24" s="87" t="s">
        <v>60</v>
      </c>
      <c r="B24" s="54"/>
      <c r="C24" s="57">
        <f>B24*0.1</f>
        <v>0</v>
      </c>
      <c r="D24" s="30"/>
    </row>
    <row r="25" spans="1:4" ht="12.75">
      <c r="A25" s="85" t="s">
        <v>61</v>
      </c>
      <c r="B25" s="58"/>
      <c r="C25" s="57"/>
      <c r="D25" s="30"/>
    </row>
    <row r="26" spans="1:4" ht="12.75">
      <c r="A26" s="87" t="s">
        <v>62</v>
      </c>
      <c r="B26" s="54"/>
      <c r="C26" s="57">
        <f>B7*0.3</f>
        <v>0</v>
      </c>
      <c r="D26" s="30"/>
    </row>
    <row r="27" spans="1:68" s="61" customFormat="1" ht="12.75">
      <c r="A27" s="88" t="s">
        <v>63</v>
      </c>
      <c r="B27" s="59"/>
      <c r="C27" s="60">
        <f>SUM(C17:C26)</f>
        <v>0</v>
      </c>
      <c r="D27" s="89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  <c r="BA27" s="190"/>
      <c r="BB27" s="190"/>
      <c r="BC27" s="190"/>
      <c r="BD27" s="190"/>
      <c r="BE27" s="190"/>
      <c r="BF27" s="190"/>
      <c r="BG27" s="190"/>
      <c r="BH27" s="190"/>
      <c r="BI27" s="190"/>
      <c r="BJ27" s="190"/>
      <c r="BK27" s="190"/>
      <c r="BL27" s="190"/>
      <c r="BM27" s="190"/>
      <c r="BN27" s="190"/>
      <c r="BO27" s="190"/>
      <c r="BP27" s="190"/>
    </row>
    <row r="28" spans="1:4" ht="13.5" thickBot="1">
      <c r="A28" s="82"/>
      <c r="B28" s="29"/>
      <c r="C28" s="29"/>
      <c r="D28" s="30"/>
    </row>
    <row r="29" spans="1:5" ht="12.75">
      <c r="A29" s="62" t="s">
        <v>64</v>
      </c>
      <c r="B29" s="63"/>
      <c r="C29" s="64"/>
      <c r="D29" s="30"/>
      <c r="E29" s="119" t="s">
        <v>40</v>
      </c>
    </row>
    <row r="30" spans="1:5" ht="15" thickBot="1">
      <c r="A30" s="65" t="s">
        <v>65</v>
      </c>
      <c r="B30" s="111" t="e">
        <f>C27/B9</f>
        <v>#DIV/0!</v>
      </c>
      <c r="C30" s="67" t="s">
        <v>66</v>
      </c>
      <c r="D30" s="30"/>
      <c r="E30" s="119" t="s">
        <v>74</v>
      </c>
    </row>
    <row r="31" spans="1:5" ht="13.5" thickBot="1">
      <c r="A31" s="82"/>
      <c r="B31" s="112"/>
      <c r="C31" s="29"/>
      <c r="D31" s="30"/>
      <c r="E31" s="119" t="s">
        <v>91</v>
      </c>
    </row>
    <row r="32" spans="1:5" ht="12.75">
      <c r="A32" s="62" t="s">
        <v>67</v>
      </c>
      <c r="B32" s="113"/>
      <c r="C32" s="64"/>
      <c r="D32" s="30"/>
      <c r="E32" s="119" t="s">
        <v>111</v>
      </c>
    </row>
    <row r="33" spans="1:5" ht="13.5" thickBot="1">
      <c r="A33" s="65" t="s">
        <v>68</v>
      </c>
      <c r="B33" s="111" t="e">
        <f>B8/B9</f>
        <v>#DIV/0!</v>
      </c>
      <c r="C33" s="67" t="s">
        <v>69</v>
      </c>
      <c r="D33" s="30"/>
      <c r="E33" s="119" t="s">
        <v>112</v>
      </c>
    </row>
    <row r="34" spans="1:5" ht="13.5" thickBot="1">
      <c r="A34" s="82"/>
      <c r="B34" s="112"/>
      <c r="C34" s="75" t="e">
        <f>SQRT(B33)</f>
        <v>#DIV/0!</v>
      </c>
      <c r="D34" s="30"/>
      <c r="E34" s="119" t="s">
        <v>88</v>
      </c>
    </row>
    <row r="35" spans="1:5" ht="15">
      <c r="A35" s="68" t="s">
        <v>70</v>
      </c>
      <c r="B35" s="114"/>
      <c r="C35" s="70"/>
      <c r="D35" s="30"/>
      <c r="E35" s="119" t="s">
        <v>89</v>
      </c>
    </row>
    <row r="36" spans="1:5" ht="18.75" thickBot="1">
      <c r="A36" s="71" t="s">
        <v>71</v>
      </c>
      <c r="B36" s="78" t="e">
        <f>B30/(1+C34)</f>
        <v>#DIV/0!</v>
      </c>
      <c r="C36" s="72" t="s">
        <v>72</v>
      </c>
      <c r="D36" s="30"/>
      <c r="E36" s="119" t="s">
        <v>90</v>
      </c>
    </row>
    <row r="37" spans="1:5" ht="21" thickBot="1">
      <c r="A37" s="73" t="s">
        <v>73</v>
      </c>
      <c r="B37" s="29"/>
      <c r="C37" s="29"/>
      <c r="D37" s="90" t="s">
        <v>88</v>
      </c>
      <c r="E37" s="119" t="s">
        <v>95</v>
      </c>
    </row>
    <row r="38" spans="1:5" ht="15.75">
      <c r="A38" s="96" t="s">
        <v>29</v>
      </c>
      <c r="B38" s="97" t="e">
        <f>IF(B36&lt;15,TRUE,FALSE)</f>
        <v>#DIV/0!</v>
      </c>
      <c r="C38" s="98"/>
      <c r="D38" s="30"/>
      <c r="E38" s="18"/>
    </row>
    <row r="39" spans="1:6" ht="15.75">
      <c r="A39" s="99" t="s">
        <v>30</v>
      </c>
      <c r="B39" s="100" t="e">
        <f>IF(E39+F39=4,TRUE)</f>
        <v>#DIV/0!</v>
      </c>
      <c r="C39" s="101"/>
      <c r="D39" s="30"/>
      <c r="E39" s="75" t="e">
        <f>IF(B36&gt;15,2,0)</f>
        <v>#DIV/0!</v>
      </c>
      <c r="F39" s="29" t="e">
        <f>IF(B36&lt;45,2,0)</f>
        <v>#DIV/0!</v>
      </c>
    </row>
    <row r="40" spans="1:6" ht="15.75">
      <c r="A40" s="99" t="s">
        <v>31</v>
      </c>
      <c r="B40" s="100" t="e">
        <f>IF(E40+F40=6,TRUE)</f>
        <v>#DIV/0!</v>
      </c>
      <c r="C40" s="101"/>
      <c r="D40" s="30"/>
      <c r="E40" s="75" t="e">
        <f>IF(B36&gt;45,3,0)</f>
        <v>#DIV/0!</v>
      </c>
      <c r="F40" s="29" t="e">
        <f>IF(B36&lt;85,3,0)</f>
        <v>#DIV/0!</v>
      </c>
    </row>
    <row r="41" spans="1:6" ht="15.75">
      <c r="A41" s="99" t="s">
        <v>32</v>
      </c>
      <c r="B41" s="100" t="e">
        <f>IF(E41+F41=8,TRUE)</f>
        <v>#DIV/0!</v>
      </c>
      <c r="C41" s="101"/>
      <c r="D41" s="30"/>
      <c r="E41" s="75" t="e">
        <f>IF(B36&gt;85,4,0)</f>
        <v>#DIV/0!</v>
      </c>
      <c r="F41" s="29" t="e">
        <f>IF(B36&lt;150,4,0)</f>
        <v>#DIV/0!</v>
      </c>
    </row>
    <row r="42" spans="1:6" ht="15.75">
      <c r="A42" s="99" t="s">
        <v>33</v>
      </c>
      <c r="B42" s="100" t="e">
        <f>IF(E42+F42=10,TRUE)</f>
        <v>#DIV/0!</v>
      </c>
      <c r="C42" s="101"/>
      <c r="D42" s="30"/>
      <c r="E42" s="75" t="e">
        <f>IF(B36&gt;150,5,0)</f>
        <v>#DIV/0!</v>
      </c>
      <c r="F42" s="29" t="e">
        <f>IF(B36&lt;230,5,0)</f>
        <v>#DIV/0!</v>
      </c>
    </row>
    <row r="43" spans="1:5" ht="16.5" thickBot="1">
      <c r="A43" s="102" t="s">
        <v>34</v>
      </c>
      <c r="B43" s="103" t="e">
        <f>IF(B36&gt;230,TRUE,FALSE)</f>
        <v>#DIV/0!</v>
      </c>
      <c r="C43" s="104"/>
      <c r="D43" s="76"/>
      <c r="E43" s="18"/>
    </row>
    <row r="44" spans="1:5" ht="13.5" thickBot="1">
      <c r="A44" s="77"/>
      <c r="B44" s="74"/>
      <c r="C44" s="29"/>
      <c r="E44" s="18"/>
    </row>
    <row r="45" spans="1:68" s="1" customFormat="1" ht="18">
      <c r="A45" s="79"/>
      <c r="B45" s="26"/>
      <c r="C45" s="26"/>
      <c r="D45" s="27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</row>
    <row r="46" spans="1:4" ht="12.75">
      <c r="A46" s="28" t="s">
        <v>39</v>
      </c>
      <c r="B46" s="29"/>
      <c r="C46" s="29"/>
      <c r="D46" s="30"/>
    </row>
    <row r="47" spans="1:68" s="2" customFormat="1" ht="18">
      <c r="A47" s="31" t="s">
        <v>93</v>
      </c>
      <c r="B47" s="32"/>
      <c r="C47" s="32"/>
      <c r="D47" s="80" t="s">
        <v>91</v>
      </c>
      <c r="E47" s="119" t="s">
        <v>40</v>
      </c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  <c r="AR47" s="189"/>
      <c r="AS47" s="189"/>
      <c r="AT47" s="189"/>
      <c r="AU47" s="189"/>
      <c r="AV47" s="189"/>
      <c r="AW47" s="189"/>
      <c r="AX47" s="189"/>
      <c r="AY47" s="189"/>
      <c r="AZ47" s="189"/>
      <c r="BA47" s="189"/>
      <c r="BB47" s="189"/>
      <c r="BC47" s="189"/>
      <c r="BD47" s="189"/>
      <c r="BE47" s="189"/>
      <c r="BF47" s="189"/>
      <c r="BG47" s="189"/>
      <c r="BH47" s="189"/>
      <c r="BI47" s="189"/>
      <c r="BJ47" s="189"/>
      <c r="BK47" s="189"/>
      <c r="BL47" s="189"/>
      <c r="BM47" s="189"/>
      <c r="BN47" s="189"/>
      <c r="BO47" s="189"/>
      <c r="BP47" s="189"/>
    </row>
    <row r="48" spans="1:5" ht="12.75">
      <c r="A48" s="34" t="s">
        <v>0</v>
      </c>
      <c r="B48" s="4"/>
      <c r="C48" s="5"/>
      <c r="D48" s="30"/>
      <c r="E48" s="119" t="s">
        <v>74</v>
      </c>
    </row>
    <row r="49" spans="1:5" ht="12.75">
      <c r="A49" s="8"/>
      <c r="B49" s="29"/>
      <c r="C49" s="29"/>
      <c r="D49" s="30"/>
      <c r="E49" s="119" t="s">
        <v>91</v>
      </c>
    </row>
    <row r="50" spans="1:5" ht="12.75">
      <c r="A50" s="8" t="s">
        <v>41</v>
      </c>
      <c r="B50" s="7">
        <f>B7</f>
        <v>0</v>
      </c>
      <c r="C50" s="81" t="s">
        <v>42</v>
      </c>
      <c r="D50" s="14"/>
      <c r="E50" s="119" t="s">
        <v>111</v>
      </c>
    </row>
    <row r="51" spans="1:5" ht="14.25">
      <c r="A51" s="8" t="s">
        <v>43</v>
      </c>
      <c r="B51" s="7">
        <f>B8</f>
        <v>0</v>
      </c>
      <c r="C51" s="81" t="s">
        <v>44</v>
      </c>
      <c r="D51" s="14"/>
      <c r="E51" s="119" t="s">
        <v>112</v>
      </c>
    </row>
    <row r="52" spans="1:5" ht="12.75">
      <c r="A52" s="8" t="s">
        <v>75</v>
      </c>
      <c r="B52" s="7"/>
      <c r="C52" s="81" t="s">
        <v>76</v>
      </c>
      <c r="D52" s="14"/>
      <c r="E52" s="119" t="s">
        <v>88</v>
      </c>
    </row>
    <row r="53" spans="1:5" ht="15.75">
      <c r="A53" s="8" t="s">
        <v>77</v>
      </c>
      <c r="B53" s="7"/>
      <c r="C53" s="81" t="s">
        <v>78</v>
      </c>
      <c r="D53" s="14"/>
      <c r="E53" s="119" t="s">
        <v>89</v>
      </c>
    </row>
    <row r="54" spans="1:5" ht="15.75">
      <c r="A54" s="8" t="s">
        <v>79</v>
      </c>
      <c r="B54" s="7"/>
      <c r="C54" s="81" t="s">
        <v>78</v>
      </c>
      <c r="D54" s="14"/>
      <c r="E54" s="119" t="s">
        <v>90</v>
      </c>
    </row>
    <row r="55" spans="1:5" ht="12.75">
      <c r="A55" s="8"/>
      <c r="B55" s="7"/>
      <c r="C55" s="81"/>
      <c r="D55" s="14"/>
      <c r="E55" s="119" t="s">
        <v>95</v>
      </c>
    </row>
    <row r="56" spans="1:5" ht="12.75">
      <c r="A56" s="8"/>
      <c r="B56" s="81"/>
      <c r="C56" s="81"/>
      <c r="D56" s="14"/>
      <c r="E56" s="6"/>
    </row>
    <row r="57" spans="1:4" ht="13.5" thickBot="1">
      <c r="A57" s="82"/>
      <c r="B57" s="29"/>
      <c r="C57" s="29"/>
      <c r="D57" s="30"/>
    </row>
    <row r="58" spans="1:4" ht="12.75">
      <c r="A58" s="62" t="s">
        <v>80</v>
      </c>
      <c r="B58" s="63"/>
      <c r="C58" s="64"/>
      <c r="D58" s="30"/>
    </row>
    <row r="59" spans="1:4" ht="13.5" thickBot="1">
      <c r="A59" s="65" t="s">
        <v>81</v>
      </c>
      <c r="B59" s="66" t="e">
        <f>100*B51/B50</f>
        <v>#DIV/0!</v>
      </c>
      <c r="C59" s="67" t="s">
        <v>6</v>
      </c>
      <c r="D59" s="30"/>
    </row>
    <row r="60" spans="1:4" ht="13.5" thickBot="1">
      <c r="A60" s="82"/>
      <c r="B60" s="29"/>
      <c r="C60" s="29"/>
      <c r="D60" s="30"/>
    </row>
    <row r="61" spans="1:6" ht="12.75">
      <c r="A61" s="62" t="s">
        <v>82</v>
      </c>
      <c r="B61" s="63"/>
      <c r="C61" s="64"/>
      <c r="D61" s="19">
        <f>E61*4.785</f>
        <v>0</v>
      </c>
      <c r="E61" s="18">
        <f>POWER(F61,0.28)</f>
        <v>0</v>
      </c>
      <c r="F61" s="18">
        <f>B53+B54</f>
        <v>0</v>
      </c>
    </row>
    <row r="62" spans="1:4" ht="13.5" thickBot="1">
      <c r="A62" s="65" t="s">
        <v>83</v>
      </c>
      <c r="B62" s="66" t="e">
        <f>B52/D61</f>
        <v>#DIV/0!</v>
      </c>
      <c r="C62" s="67"/>
      <c r="D62" s="30"/>
    </row>
    <row r="63" spans="1:4" ht="13.5" thickBot="1">
      <c r="A63" s="82"/>
      <c r="B63" s="29"/>
      <c r="C63" s="75"/>
      <c r="D63" s="30"/>
    </row>
    <row r="64" spans="1:4" ht="15">
      <c r="A64" s="68" t="s">
        <v>84</v>
      </c>
      <c r="B64" s="69"/>
      <c r="C64" s="70"/>
      <c r="D64" s="30"/>
    </row>
    <row r="65" spans="1:4" ht="16.5" thickBot="1">
      <c r="A65" s="71" t="s">
        <v>85</v>
      </c>
      <c r="B65" s="78" t="e">
        <f>0.265*B59+0.425*B62+0.398</f>
        <v>#DIV/0!</v>
      </c>
      <c r="C65" s="72" t="s">
        <v>6</v>
      </c>
      <c r="D65" s="30"/>
    </row>
    <row r="66" spans="1:4" ht="21" thickBot="1">
      <c r="A66" s="73" t="s">
        <v>86</v>
      </c>
      <c r="B66" s="29"/>
      <c r="C66" s="29"/>
      <c r="D66" s="30"/>
    </row>
    <row r="67" spans="1:4" ht="21" thickBot="1">
      <c r="A67" s="73" t="s">
        <v>87</v>
      </c>
      <c r="B67" s="29"/>
      <c r="C67" s="29"/>
      <c r="D67" s="90" t="s">
        <v>89</v>
      </c>
    </row>
    <row r="68" spans="1:5" ht="15.75">
      <c r="A68" s="96" t="s">
        <v>29</v>
      </c>
      <c r="B68" s="97" t="e">
        <f>IF(B65&gt;5.9,TRUE,FALSE)</f>
        <v>#DIV/0!</v>
      </c>
      <c r="C68" s="98"/>
      <c r="D68" s="30"/>
      <c r="E68" s="18"/>
    </row>
    <row r="69" spans="1:6" ht="15.75">
      <c r="A69" s="99" t="s">
        <v>30</v>
      </c>
      <c r="B69" s="100" t="e">
        <f>IF(E69+F69=4,TRUE)</f>
        <v>#DIV/0!</v>
      </c>
      <c r="C69" s="101"/>
      <c r="D69" s="30"/>
      <c r="E69" s="75" t="e">
        <f>IF(B65&lt;5.9,2,0)</f>
        <v>#DIV/0!</v>
      </c>
      <c r="F69" s="29" t="e">
        <f>IF(B65&gt;2.4,2,0)</f>
        <v>#DIV/0!</v>
      </c>
    </row>
    <row r="70" spans="1:6" ht="15.75">
      <c r="A70" s="99" t="s">
        <v>31</v>
      </c>
      <c r="B70" s="100" t="e">
        <f>IF(E70+F70=6,TRUE)</f>
        <v>#DIV/0!</v>
      </c>
      <c r="C70" s="101"/>
      <c r="D70" s="30"/>
      <c r="E70" s="75" t="e">
        <f>IF(B65&lt;2.4,3,0)</f>
        <v>#DIV/0!</v>
      </c>
      <c r="F70" s="29" t="e">
        <f>IF(B65&gt;1.5,3,0)</f>
        <v>#DIV/0!</v>
      </c>
    </row>
    <row r="71" spans="1:6" ht="15.75">
      <c r="A71" s="99" t="s">
        <v>32</v>
      </c>
      <c r="B71" s="100" t="e">
        <f>IF(E71+F71=8,TRUE)</f>
        <v>#DIV/0!</v>
      </c>
      <c r="C71" s="101"/>
      <c r="D71" s="30"/>
      <c r="E71" s="75" t="e">
        <f>IF(B65&lt;1.5,4,0)</f>
        <v>#DIV/0!</v>
      </c>
      <c r="F71" s="29" t="e">
        <f>IF(B65&gt;1,4,0)</f>
        <v>#DIV/0!</v>
      </c>
    </row>
    <row r="72" spans="1:6" ht="15.75">
      <c r="A72" s="99" t="s">
        <v>33</v>
      </c>
      <c r="B72" s="100" t="e">
        <f>IF(E72+F72=10,TRUE)</f>
        <v>#DIV/0!</v>
      </c>
      <c r="C72" s="101"/>
      <c r="D72" s="30"/>
      <c r="E72" s="75" t="e">
        <f>IF(B65&lt;1,5,0)</f>
        <v>#DIV/0!</v>
      </c>
      <c r="F72" s="29" t="e">
        <f>IF(B65&gt;0.6,5,0)</f>
        <v>#DIV/0!</v>
      </c>
    </row>
    <row r="73" spans="1:5" ht="16.5" thickBot="1">
      <c r="A73" s="102"/>
      <c r="B73" s="103"/>
      <c r="C73" s="104"/>
      <c r="D73" s="76"/>
      <c r="E73" s="18"/>
    </row>
    <row r="74" spans="1:5" ht="12.75">
      <c r="A74" s="77"/>
      <c r="B74" s="74"/>
      <c r="C74" s="29"/>
      <c r="E74" s="18"/>
    </row>
    <row r="75" ht="13.5" thickBot="1"/>
    <row r="76" spans="1:24" ht="18">
      <c r="A76" s="25"/>
      <c r="B76" s="26"/>
      <c r="C76" s="27"/>
      <c r="D76" s="91"/>
      <c r="E76" s="1"/>
      <c r="F76" s="1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</row>
    <row r="77" spans="1:19" ht="18">
      <c r="A77" s="28" t="s">
        <v>92</v>
      </c>
      <c r="B77" s="29"/>
      <c r="C77" s="30"/>
      <c r="D77" s="92"/>
      <c r="G77" s="191"/>
      <c r="M77" s="191"/>
      <c r="S77" s="191"/>
    </row>
    <row r="78" spans="1:24" ht="18">
      <c r="A78" s="31" t="s">
        <v>38</v>
      </c>
      <c r="B78" s="32"/>
      <c r="C78" s="33"/>
      <c r="D78" s="80" t="s">
        <v>111</v>
      </c>
      <c r="E78" s="22"/>
      <c r="F78" s="22"/>
      <c r="G78" s="189" t="s">
        <v>11</v>
      </c>
      <c r="H78" s="189"/>
      <c r="I78" s="189"/>
      <c r="J78" s="158"/>
      <c r="K78" s="189"/>
      <c r="L78" s="189"/>
      <c r="M78" s="189" t="s">
        <v>14</v>
      </c>
      <c r="N78" s="189"/>
      <c r="O78" s="189"/>
      <c r="P78" s="158"/>
      <c r="Q78" s="189"/>
      <c r="R78" s="189"/>
      <c r="S78" s="189" t="s">
        <v>17</v>
      </c>
      <c r="T78" s="189"/>
      <c r="U78" s="189"/>
      <c r="V78" s="158"/>
      <c r="W78" s="189"/>
      <c r="X78" s="189"/>
    </row>
    <row r="79" spans="1:22" ht="15.75">
      <c r="A79" s="34" t="s">
        <v>118</v>
      </c>
      <c r="B79" s="4"/>
      <c r="C79" s="35"/>
      <c r="D79" s="93"/>
      <c r="E79" s="23"/>
      <c r="F79" s="23"/>
      <c r="G79" s="192" t="s">
        <v>0</v>
      </c>
      <c r="H79" s="193"/>
      <c r="I79" s="194"/>
      <c r="J79" s="195"/>
      <c r="M79" s="192" t="s">
        <v>0</v>
      </c>
      <c r="N79" s="193"/>
      <c r="O79" s="194"/>
      <c r="P79" s="195"/>
      <c r="S79" s="192" t="s">
        <v>0</v>
      </c>
      <c r="T79" s="193"/>
      <c r="U79" s="194"/>
      <c r="V79" s="195"/>
    </row>
    <row r="80" spans="1:6" ht="13.5" thickBot="1">
      <c r="A80" s="8"/>
      <c r="B80" s="29"/>
      <c r="C80" s="30"/>
      <c r="D80" s="94"/>
      <c r="E80" s="23"/>
      <c r="F80" s="23"/>
    </row>
    <row r="81" spans="1:20" ht="12.75">
      <c r="A81" s="11" t="s">
        <v>1</v>
      </c>
      <c r="B81" s="12"/>
      <c r="C81" s="13" t="s">
        <v>2</v>
      </c>
      <c r="D81" s="94"/>
      <c r="E81" s="23"/>
      <c r="F81" s="23"/>
      <c r="G81" s="196"/>
      <c r="H81" s="197"/>
      <c r="M81" s="196"/>
      <c r="N81" s="197"/>
      <c r="S81" s="196"/>
      <c r="T81" s="197"/>
    </row>
    <row r="82" spans="1:20" ht="12.75">
      <c r="A82" s="8" t="s">
        <v>3</v>
      </c>
      <c r="B82" s="7"/>
      <c r="C82" s="14" t="s">
        <v>2</v>
      </c>
      <c r="D82" s="94"/>
      <c r="E82" s="23"/>
      <c r="F82" s="23"/>
      <c r="G82" s="196"/>
      <c r="H82" s="197"/>
      <c r="M82" s="196"/>
      <c r="N82" s="197"/>
      <c r="S82" s="196"/>
      <c r="T82" s="197"/>
    </row>
    <row r="83" spans="1:21" ht="12.75">
      <c r="A83" s="8" t="s">
        <v>4</v>
      </c>
      <c r="B83" s="7"/>
      <c r="C83" s="14" t="s">
        <v>2</v>
      </c>
      <c r="D83" s="94"/>
      <c r="E83" s="23"/>
      <c r="F83" s="23"/>
      <c r="G83" s="196" t="s">
        <v>5</v>
      </c>
      <c r="H83" s="197">
        <f>B84</f>
        <v>0</v>
      </c>
      <c r="I83" s="174" t="s">
        <v>6</v>
      </c>
      <c r="M83" s="196" t="s">
        <v>1</v>
      </c>
      <c r="N83" s="197">
        <f>B81</f>
        <v>0</v>
      </c>
      <c r="O83" s="174" t="s">
        <v>2</v>
      </c>
      <c r="S83" s="196" t="s">
        <v>3</v>
      </c>
      <c r="T83" s="197">
        <f>B82</f>
        <v>0</v>
      </c>
      <c r="U83" s="174" t="s">
        <v>2</v>
      </c>
    </row>
    <row r="84" spans="1:20" ht="12.75">
      <c r="A84" s="8" t="s">
        <v>20</v>
      </c>
      <c r="B84" s="7"/>
      <c r="C84" s="14" t="s">
        <v>6</v>
      </c>
      <c r="D84" s="94"/>
      <c r="E84" s="23"/>
      <c r="F84" s="23"/>
      <c r="G84" s="196"/>
      <c r="H84" s="197"/>
      <c r="M84" s="196"/>
      <c r="N84" s="197"/>
      <c r="S84" s="196"/>
      <c r="T84" s="197"/>
    </row>
    <row r="85" spans="1:20" ht="13.5" thickBot="1">
      <c r="A85" s="15" t="s">
        <v>7</v>
      </c>
      <c r="B85" s="16"/>
      <c r="C85" s="17"/>
      <c r="D85" s="94"/>
      <c r="E85" s="23"/>
      <c r="F85" s="23"/>
      <c r="G85" s="198" t="s">
        <v>7</v>
      </c>
      <c r="H85" s="197"/>
      <c r="M85" s="198"/>
      <c r="N85" s="197"/>
      <c r="S85" s="198" t="s">
        <v>7</v>
      </c>
      <c r="T85" s="197"/>
    </row>
    <row r="86" spans="1:21" ht="20.25">
      <c r="A86" s="36" t="s">
        <v>8</v>
      </c>
      <c r="B86" s="37">
        <f>SUM(B126:B166)</f>
        <v>0.5</v>
      </c>
      <c r="C86" s="38" t="s">
        <v>9</v>
      </c>
      <c r="D86" s="94">
        <v>10</v>
      </c>
      <c r="E86" s="23">
        <f>B86*D86</f>
        <v>5</v>
      </c>
      <c r="F86" s="23"/>
      <c r="G86" s="199" t="s">
        <v>12</v>
      </c>
      <c r="H86" s="200">
        <f>SUM(H126:H166)</f>
        <v>4.5</v>
      </c>
      <c r="I86" s="201" t="s">
        <v>119</v>
      </c>
      <c r="M86" s="199" t="s">
        <v>15</v>
      </c>
      <c r="N86" s="200">
        <f>SUM(N126:N160)</f>
        <v>0.5</v>
      </c>
      <c r="O86" s="201" t="s">
        <v>120</v>
      </c>
      <c r="S86" s="199" t="s">
        <v>18</v>
      </c>
      <c r="T86" s="200">
        <f>SUM(T126:T160)</f>
        <v>0.5</v>
      </c>
      <c r="U86" s="201" t="s">
        <v>121</v>
      </c>
    </row>
    <row r="87" spans="1:21" ht="20.25">
      <c r="A87" s="36" t="s">
        <v>12</v>
      </c>
      <c r="B87" s="37">
        <f>H86</f>
        <v>4.5</v>
      </c>
      <c r="C87" s="38" t="s">
        <v>13</v>
      </c>
      <c r="D87" s="94">
        <v>7</v>
      </c>
      <c r="E87" s="23">
        <f>B87*D87</f>
        <v>31.5</v>
      </c>
      <c r="F87" s="23"/>
      <c r="G87" s="199"/>
      <c r="H87" s="200"/>
      <c r="I87" s="201"/>
      <c r="M87" s="199"/>
      <c r="N87" s="200"/>
      <c r="O87" s="201"/>
      <c r="S87" s="199"/>
      <c r="T87" s="200"/>
      <c r="U87" s="201"/>
    </row>
    <row r="88" spans="1:21" ht="20.25">
      <c r="A88" s="36" t="s">
        <v>15</v>
      </c>
      <c r="B88" s="37">
        <f>N86</f>
        <v>0.5</v>
      </c>
      <c r="C88" s="38" t="s">
        <v>16</v>
      </c>
      <c r="D88" s="94">
        <v>5</v>
      </c>
      <c r="E88" s="23">
        <f>B88*D88</f>
        <v>2.5</v>
      </c>
      <c r="F88" s="23"/>
      <c r="G88" s="199"/>
      <c r="H88" s="200"/>
      <c r="I88" s="201"/>
      <c r="M88" s="199"/>
      <c r="N88" s="200"/>
      <c r="O88" s="201"/>
      <c r="S88" s="199"/>
      <c r="T88" s="200"/>
      <c r="U88" s="201"/>
    </row>
    <row r="89" spans="1:21" ht="20.25">
      <c r="A89" s="36" t="s">
        <v>18</v>
      </c>
      <c r="B89" s="37">
        <f>T86</f>
        <v>0.5</v>
      </c>
      <c r="C89" s="38" t="s">
        <v>19</v>
      </c>
      <c r="D89" s="94">
        <v>5</v>
      </c>
      <c r="E89" s="23">
        <f>B89*D89</f>
        <v>2.5</v>
      </c>
      <c r="F89" s="23"/>
      <c r="G89" s="199"/>
      <c r="H89" s="200"/>
      <c r="I89" s="201"/>
      <c r="M89" s="199"/>
      <c r="N89" s="200"/>
      <c r="O89" s="201"/>
      <c r="S89" s="199"/>
      <c r="T89" s="200"/>
      <c r="U89" s="201"/>
    </row>
    <row r="90" spans="1:21" ht="20.25">
      <c r="A90" s="39" t="s">
        <v>26</v>
      </c>
      <c r="B90" s="40">
        <f>E90/D90</f>
        <v>1.537037037037037</v>
      </c>
      <c r="C90" s="41" t="s">
        <v>27</v>
      </c>
      <c r="D90" s="94">
        <f>SUM(D86:D89)</f>
        <v>27</v>
      </c>
      <c r="E90" s="23">
        <f>SUM(E86:E89)</f>
        <v>41.5</v>
      </c>
      <c r="F90" s="23"/>
      <c r="G90" s="199"/>
      <c r="H90" s="200"/>
      <c r="I90" s="201"/>
      <c r="M90" s="199"/>
      <c r="N90" s="200"/>
      <c r="O90" s="201"/>
      <c r="S90" s="199"/>
      <c r="T90" s="200"/>
      <c r="U90" s="201"/>
    </row>
    <row r="91" spans="1:21" ht="21" thickBot="1">
      <c r="A91" s="24" t="s">
        <v>28</v>
      </c>
      <c r="B91" s="42" t="s">
        <v>36</v>
      </c>
      <c r="C91" s="43" t="s">
        <v>37</v>
      </c>
      <c r="D91" s="90" t="s">
        <v>90</v>
      </c>
      <c r="E91" s="23"/>
      <c r="F91" s="23"/>
      <c r="G91" s="199"/>
      <c r="H91" s="200"/>
      <c r="I91" s="201"/>
      <c r="M91" s="199"/>
      <c r="N91" s="200"/>
      <c r="O91" s="201"/>
      <c r="S91" s="199"/>
      <c r="T91" s="200"/>
      <c r="U91" s="201"/>
    </row>
    <row r="92" spans="1:21" ht="20.25">
      <c r="A92" s="105" t="s">
        <v>29</v>
      </c>
      <c r="B92" s="106" t="b">
        <f>F92</f>
        <v>0</v>
      </c>
      <c r="C92" s="43"/>
      <c r="D92" s="94">
        <f>IF(B90&gt;=0.5,1,0)</f>
        <v>1</v>
      </c>
      <c r="E92" s="23">
        <f>IF(B90&lt;=1.5,1,0)</f>
        <v>0</v>
      </c>
      <c r="F92" s="23" t="b">
        <f>IF(D92+E92=2,TRUE,FALSE)</f>
        <v>0</v>
      </c>
      <c r="G92" s="174">
        <f>IF(D92+E92=2,1,0)</f>
        <v>0</v>
      </c>
      <c r="H92" s="200"/>
      <c r="I92" s="201"/>
      <c r="M92" s="199"/>
      <c r="N92" s="200"/>
      <c r="O92" s="201"/>
      <c r="S92" s="199"/>
      <c r="T92" s="200"/>
      <c r="U92" s="201"/>
    </row>
    <row r="93" spans="1:21" ht="20.25">
      <c r="A93" s="107" t="s">
        <v>30</v>
      </c>
      <c r="B93" s="108" t="b">
        <f aca="true" t="shared" si="0" ref="B93:B98">F93</f>
        <v>1</v>
      </c>
      <c r="C93" s="43"/>
      <c r="D93" s="94">
        <f>IF(B90&gt;1.5,1,0)</f>
        <v>1</v>
      </c>
      <c r="E93" s="23">
        <f>IF(B90&lt;=2.5,1,0)</f>
        <v>1</v>
      </c>
      <c r="F93" s="23" t="b">
        <f aca="true" t="shared" si="1" ref="F93:F98">IF(D93+E93=2,TRUE,FALSE)</f>
        <v>1</v>
      </c>
      <c r="G93" s="199"/>
      <c r="H93" s="200"/>
      <c r="I93" s="201"/>
      <c r="M93" s="199"/>
      <c r="N93" s="200"/>
      <c r="O93" s="201"/>
      <c r="S93" s="199"/>
      <c r="T93" s="200"/>
      <c r="U93" s="201"/>
    </row>
    <row r="94" spans="1:21" ht="20.25">
      <c r="A94" s="107" t="s">
        <v>31</v>
      </c>
      <c r="B94" s="108" t="b">
        <f t="shared" si="0"/>
        <v>0</v>
      </c>
      <c r="C94" s="43"/>
      <c r="D94" s="94">
        <f>IF(B90&gt;2.5,1,0)</f>
        <v>0</v>
      </c>
      <c r="E94" s="23">
        <f>IF(B90&lt;=3,1,0)</f>
        <v>1</v>
      </c>
      <c r="F94" s="23" t="b">
        <f t="shared" si="1"/>
        <v>0</v>
      </c>
      <c r="G94" s="199"/>
      <c r="H94" s="200"/>
      <c r="I94" s="201"/>
      <c r="M94" s="199"/>
      <c r="N94" s="200"/>
      <c r="O94" s="201"/>
      <c r="S94" s="199"/>
      <c r="T94" s="200"/>
      <c r="U94" s="201"/>
    </row>
    <row r="95" spans="1:6" ht="15.75">
      <c r="A95" s="107" t="s">
        <v>32</v>
      </c>
      <c r="B95" s="108" t="b">
        <f t="shared" si="0"/>
        <v>0</v>
      </c>
      <c r="C95" s="43"/>
      <c r="D95" s="94">
        <f>IF(B90&gt;3,1,0)</f>
        <v>0</v>
      </c>
      <c r="E95" s="23">
        <f>IF(B90&lt;=3.5,1,0)</f>
        <v>1</v>
      </c>
      <c r="F95" s="23" t="b">
        <f t="shared" si="1"/>
        <v>0</v>
      </c>
    </row>
    <row r="96" spans="1:6" ht="15.75">
      <c r="A96" s="107" t="s">
        <v>33</v>
      </c>
      <c r="B96" s="108" t="b">
        <f t="shared" si="0"/>
        <v>0</v>
      </c>
      <c r="C96" s="43"/>
      <c r="D96" s="94">
        <f>IF(B90&gt;3.5,1,0)</f>
        <v>0</v>
      </c>
      <c r="E96" s="23">
        <f>IF(B91&lt;=4,1,0)</f>
        <v>0</v>
      </c>
      <c r="F96" s="23" t="b">
        <f t="shared" si="1"/>
        <v>0</v>
      </c>
    </row>
    <row r="97" spans="1:6" ht="15.75">
      <c r="A97" s="107" t="s">
        <v>34</v>
      </c>
      <c r="B97" s="108" t="b">
        <f t="shared" si="0"/>
        <v>0</v>
      </c>
      <c r="C97" s="43"/>
      <c r="D97" s="94">
        <f>IF(B90&gt;4,1,0)</f>
        <v>0</v>
      </c>
      <c r="E97" s="23">
        <f>IF(B90&lt;=4.5,1,0)</f>
        <v>1</v>
      </c>
      <c r="F97" s="23" t="b">
        <f t="shared" si="1"/>
        <v>0</v>
      </c>
    </row>
    <row r="98" spans="1:6" ht="16.5" thickBot="1">
      <c r="A98" s="109" t="s">
        <v>35</v>
      </c>
      <c r="B98" s="110" t="b">
        <f t="shared" si="0"/>
        <v>0</v>
      </c>
      <c r="C98" s="44"/>
      <c r="D98" s="95">
        <f>IF(B90&gt;4.5,1,0)</f>
        <v>0</v>
      </c>
      <c r="E98" s="23">
        <f>IF(B90&gt;4.5,1,0)</f>
        <v>0</v>
      </c>
      <c r="F98" s="23" t="b">
        <f t="shared" si="1"/>
        <v>0</v>
      </c>
    </row>
    <row r="99" spans="1:6" ht="18">
      <c r="A99" s="45"/>
      <c r="B99" s="46"/>
      <c r="C99" s="47"/>
      <c r="D99" s="3" t="s">
        <v>112</v>
      </c>
      <c r="E99" s="23"/>
      <c r="F99" s="23"/>
    </row>
    <row r="100" spans="1:6" ht="15.75">
      <c r="A100" s="121" t="s">
        <v>96</v>
      </c>
      <c r="B100" s="46"/>
      <c r="C100" s="47"/>
      <c r="D100" s="117" t="s">
        <v>95</v>
      </c>
      <c r="E100" s="23"/>
      <c r="F100" s="23"/>
    </row>
    <row r="101" spans="1:6" ht="16.5" thickBot="1">
      <c r="A101" s="116" t="s">
        <v>116</v>
      </c>
      <c r="B101" s="46"/>
      <c r="C101" s="47"/>
      <c r="D101" s="23"/>
      <c r="E101" s="23"/>
      <c r="F101" s="23"/>
    </row>
    <row r="102" spans="1:68" s="115" customFormat="1" ht="18">
      <c r="A102" s="122"/>
      <c r="B102" s="123"/>
      <c r="C102" s="123"/>
      <c r="D102" s="124" t="s">
        <v>97</v>
      </c>
      <c r="E102" s="125"/>
      <c r="F102" s="125"/>
      <c r="G102" s="202"/>
      <c r="H102" s="202"/>
      <c r="I102" s="202"/>
      <c r="J102" s="203"/>
      <c r="K102" s="191"/>
      <c r="L102" s="191"/>
      <c r="M102" s="191"/>
      <c r="N102" s="191"/>
      <c r="O102" s="191"/>
      <c r="P102" s="191"/>
      <c r="Q102" s="191"/>
      <c r="R102" s="191"/>
      <c r="S102" s="191"/>
      <c r="T102" s="191"/>
      <c r="U102" s="191"/>
      <c r="V102" s="191"/>
      <c r="W102" s="191"/>
      <c r="X102" s="191"/>
      <c r="Y102" s="191"/>
      <c r="Z102" s="191"/>
      <c r="AA102" s="191"/>
      <c r="AB102" s="191"/>
      <c r="AC102" s="191"/>
      <c r="AD102" s="191"/>
      <c r="AE102" s="191"/>
      <c r="AF102" s="191"/>
      <c r="AG102" s="191"/>
      <c r="AH102" s="191"/>
      <c r="AI102" s="191"/>
      <c r="AJ102" s="191"/>
      <c r="AK102" s="191"/>
      <c r="AL102" s="191"/>
      <c r="AM102" s="191"/>
      <c r="AN102" s="191"/>
      <c r="AO102" s="191"/>
      <c r="AP102" s="191"/>
      <c r="AQ102" s="191"/>
      <c r="AR102" s="191"/>
      <c r="AS102" s="191"/>
      <c r="AT102" s="191"/>
      <c r="AU102" s="191"/>
      <c r="AV102" s="191"/>
      <c r="AW102" s="191"/>
      <c r="AX102" s="191"/>
      <c r="AY102" s="191"/>
      <c r="AZ102" s="191"/>
      <c r="BA102" s="191"/>
      <c r="BB102" s="191"/>
      <c r="BC102" s="191"/>
      <c r="BD102" s="191"/>
      <c r="BE102" s="191"/>
      <c r="BF102" s="191"/>
      <c r="BG102" s="191"/>
      <c r="BH102" s="191"/>
      <c r="BI102" s="191"/>
      <c r="BJ102" s="191"/>
      <c r="BK102" s="191"/>
      <c r="BL102" s="191"/>
      <c r="BM102" s="191"/>
      <c r="BN102" s="191"/>
      <c r="BO102" s="191"/>
      <c r="BP102" s="191"/>
    </row>
    <row r="103" spans="1:68" s="115" customFormat="1" ht="12.75">
      <c r="A103" s="126"/>
      <c r="B103" s="127"/>
      <c r="C103" s="127"/>
      <c r="D103" s="128" t="s">
        <v>29</v>
      </c>
      <c r="E103" s="129" t="s">
        <v>30</v>
      </c>
      <c r="F103" s="129" t="s">
        <v>98</v>
      </c>
      <c r="G103" s="204"/>
      <c r="H103" s="204" t="s">
        <v>99</v>
      </c>
      <c r="I103" s="204"/>
      <c r="J103" s="205" t="s">
        <v>35</v>
      </c>
      <c r="K103" s="191"/>
      <c r="L103" s="191"/>
      <c r="M103" s="191"/>
      <c r="N103" s="191"/>
      <c r="O103" s="191"/>
      <c r="P103" s="191"/>
      <c r="Q103" s="191"/>
      <c r="R103" s="191"/>
      <c r="S103" s="191"/>
      <c r="T103" s="191"/>
      <c r="U103" s="191"/>
      <c r="V103" s="191"/>
      <c r="W103" s="191"/>
      <c r="X103" s="191"/>
      <c r="Y103" s="191"/>
      <c r="Z103" s="191"/>
      <c r="AA103" s="191"/>
      <c r="AB103" s="191"/>
      <c r="AC103" s="191"/>
      <c r="AD103" s="191"/>
      <c r="AE103" s="191"/>
      <c r="AF103" s="191"/>
      <c r="AG103" s="191"/>
      <c r="AH103" s="191"/>
      <c r="AI103" s="191"/>
      <c r="AJ103" s="191"/>
      <c r="AK103" s="191"/>
      <c r="AL103" s="191"/>
      <c r="AM103" s="191"/>
      <c r="AN103" s="191"/>
      <c r="AO103" s="191"/>
      <c r="AP103" s="191"/>
      <c r="AQ103" s="191"/>
      <c r="AR103" s="191"/>
      <c r="AS103" s="191"/>
      <c r="AT103" s="191"/>
      <c r="AU103" s="191"/>
      <c r="AV103" s="191"/>
      <c r="AW103" s="191"/>
      <c r="AX103" s="191"/>
      <c r="AY103" s="191"/>
      <c r="AZ103" s="191"/>
      <c r="BA103" s="191"/>
      <c r="BB103" s="191"/>
      <c r="BC103" s="191"/>
      <c r="BD103" s="191"/>
      <c r="BE103" s="191"/>
      <c r="BF103" s="191"/>
      <c r="BG103" s="191"/>
      <c r="BH103" s="191"/>
      <c r="BI103" s="191"/>
      <c r="BJ103" s="191"/>
      <c r="BK103" s="191"/>
      <c r="BL103" s="191"/>
      <c r="BM103" s="191"/>
      <c r="BN103" s="191"/>
      <c r="BO103" s="191"/>
      <c r="BP103" s="191"/>
    </row>
    <row r="104" spans="1:68" s="115" customFormat="1" ht="12.75">
      <c r="A104" s="126" t="s">
        <v>100</v>
      </c>
      <c r="B104" s="127"/>
      <c r="C104" s="127"/>
      <c r="D104" s="128" t="s">
        <v>101</v>
      </c>
      <c r="E104" s="129" t="s">
        <v>6</v>
      </c>
      <c r="F104" s="129" t="s">
        <v>102</v>
      </c>
      <c r="G104" s="204" t="s">
        <v>103</v>
      </c>
      <c r="H104" s="204" t="s">
        <v>104</v>
      </c>
      <c r="I104" s="204" t="s">
        <v>105</v>
      </c>
      <c r="J104" s="205" t="s">
        <v>106</v>
      </c>
      <c r="K104" s="191"/>
      <c r="L104" s="191"/>
      <c r="M104" s="191"/>
      <c r="N104" s="191"/>
      <c r="O104" s="191"/>
      <c r="P104" s="191"/>
      <c r="Q104" s="191"/>
      <c r="R104" s="191"/>
      <c r="S104" s="191"/>
      <c r="T104" s="191"/>
      <c r="U104" s="191"/>
      <c r="V104" s="191"/>
      <c r="W104" s="191"/>
      <c r="X104" s="191"/>
      <c r="Y104" s="191"/>
      <c r="Z104" s="191"/>
      <c r="AA104" s="191"/>
      <c r="AB104" s="191"/>
      <c r="AC104" s="191"/>
      <c r="AD104" s="191"/>
      <c r="AE104" s="191"/>
      <c r="AF104" s="191"/>
      <c r="AG104" s="191"/>
      <c r="AH104" s="191"/>
      <c r="AI104" s="191"/>
      <c r="AJ104" s="191"/>
      <c r="AK104" s="191"/>
      <c r="AL104" s="191"/>
      <c r="AM104" s="191"/>
      <c r="AN104" s="191"/>
      <c r="AO104" s="191"/>
      <c r="AP104" s="191"/>
      <c r="AQ104" s="191"/>
      <c r="AR104" s="191"/>
      <c r="AS104" s="191"/>
      <c r="AT104" s="191"/>
      <c r="AU104" s="191"/>
      <c r="AV104" s="191"/>
      <c r="AW104" s="191"/>
      <c r="AX104" s="191"/>
      <c r="AY104" s="191"/>
      <c r="AZ104" s="191"/>
      <c r="BA104" s="191"/>
      <c r="BB104" s="191"/>
      <c r="BC104" s="191"/>
      <c r="BD104" s="191"/>
      <c r="BE104" s="191"/>
      <c r="BF104" s="191"/>
      <c r="BG104" s="191"/>
      <c r="BH104" s="191"/>
      <c r="BI104" s="191"/>
      <c r="BJ104" s="191"/>
      <c r="BK104" s="191"/>
      <c r="BL104" s="191"/>
      <c r="BM104" s="191"/>
      <c r="BN104" s="191"/>
      <c r="BO104" s="191"/>
      <c r="BP104" s="191"/>
    </row>
    <row r="105" spans="1:68" s="115" customFormat="1" ht="12.75">
      <c r="A105" s="126"/>
      <c r="B105" s="130" t="s">
        <v>115</v>
      </c>
      <c r="C105" s="127"/>
      <c r="D105" s="128" t="b">
        <f>B92</f>
        <v>0</v>
      </c>
      <c r="E105" s="128" t="b">
        <f>B93</f>
        <v>1</v>
      </c>
      <c r="F105" s="128" t="b">
        <f>B94</f>
        <v>0</v>
      </c>
      <c r="G105" s="206" t="b">
        <f>B95</f>
        <v>0</v>
      </c>
      <c r="H105" s="206" t="b">
        <f>B96</f>
        <v>0</v>
      </c>
      <c r="I105" s="206" t="b">
        <f>B97</f>
        <v>0</v>
      </c>
      <c r="J105" s="207" t="b">
        <f>B98</f>
        <v>0</v>
      </c>
      <c r="K105" s="191"/>
      <c r="L105" s="191"/>
      <c r="M105" s="191"/>
      <c r="N105" s="191"/>
      <c r="O105" s="191"/>
      <c r="P105" s="191"/>
      <c r="Q105" s="191"/>
      <c r="R105" s="191"/>
      <c r="S105" s="191"/>
      <c r="T105" s="191"/>
      <c r="U105" s="191"/>
      <c r="V105" s="191"/>
      <c r="W105" s="191"/>
      <c r="X105" s="191"/>
      <c r="Y105" s="191"/>
      <c r="Z105" s="191"/>
      <c r="AA105" s="191"/>
      <c r="AB105" s="191"/>
      <c r="AC105" s="191"/>
      <c r="AD105" s="191"/>
      <c r="AE105" s="191"/>
      <c r="AF105" s="191"/>
      <c r="AG105" s="191"/>
      <c r="AH105" s="191"/>
      <c r="AI105" s="191"/>
      <c r="AJ105" s="191"/>
      <c r="AK105" s="191"/>
      <c r="AL105" s="191"/>
      <c r="AM105" s="191"/>
      <c r="AN105" s="191"/>
      <c r="AO105" s="191"/>
      <c r="AP105" s="191"/>
      <c r="AQ105" s="191"/>
      <c r="AR105" s="191"/>
      <c r="AS105" s="191"/>
      <c r="AT105" s="191"/>
      <c r="AU105" s="191"/>
      <c r="AV105" s="191"/>
      <c r="AW105" s="191"/>
      <c r="AX105" s="191"/>
      <c r="AY105" s="191"/>
      <c r="AZ105" s="191"/>
      <c r="BA105" s="191"/>
      <c r="BB105" s="191"/>
      <c r="BC105" s="191"/>
      <c r="BD105" s="191"/>
      <c r="BE105" s="191"/>
      <c r="BF105" s="191"/>
      <c r="BG105" s="191"/>
      <c r="BH105" s="191"/>
      <c r="BI105" s="191"/>
      <c r="BJ105" s="191"/>
      <c r="BK105" s="191"/>
      <c r="BL105" s="191"/>
      <c r="BM105" s="191"/>
      <c r="BN105" s="191"/>
      <c r="BO105" s="191"/>
      <c r="BP105" s="191"/>
    </row>
    <row r="106" spans="1:68" s="115" customFormat="1" ht="18">
      <c r="A106" s="131" t="s">
        <v>107</v>
      </c>
      <c r="B106" s="132" t="s">
        <v>113</v>
      </c>
      <c r="C106" s="132" t="s">
        <v>114</v>
      </c>
      <c r="D106" s="128"/>
      <c r="E106" s="129"/>
      <c r="F106" s="129"/>
      <c r="G106" s="208"/>
      <c r="H106" s="208"/>
      <c r="I106" s="208"/>
      <c r="J106" s="209"/>
      <c r="K106" s="191"/>
      <c r="L106" s="191"/>
      <c r="M106" s="191"/>
      <c r="N106" s="191"/>
      <c r="O106" s="191"/>
      <c r="P106" s="191"/>
      <c r="Q106" s="191"/>
      <c r="R106" s="191"/>
      <c r="S106" s="191"/>
      <c r="T106" s="191"/>
      <c r="U106" s="191"/>
      <c r="V106" s="191"/>
      <c r="W106" s="191"/>
      <c r="X106" s="191"/>
      <c r="Y106" s="191"/>
      <c r="Z106" s="191"/>
      <c r="AA106" s="191"/>
      <c r="AB106" s="191"/>
      <c r="AC106" s="191"/>
      <c r="AD106" s="191"/>
      <c r="AE106" s="191"/>
      <c r="AF106" s="191"/>
      <c r="AG106" s="191"/>
      <c r="AH106" s="191"/>
      <c r="AI106" s="191"/>
      <c r="AJ106" s="191"/>
      <c r="AK106" s="191"/>
      <c r="AL106" s="191"/>
      <c r="AM106" s="191"/>
      <c r="AN106" s="191"/>
      <c r="AO106" s="191"/>
      <c r="AP106" s="191"/>
      <c r="AQ106" s="191"/>
      <c r="AR106" s="191"/>
      <c r="AS106" s="191"/>
      <c r="AT106" s="191"/>
      <c r="AU106" s="191"/>
      <c r="AV106" s="191"/>
      <c r="AW106" s="191"/>
      <c r="AX106" s="191"/>
      <c r="AY106" s="191"/>
      <c r="AZ106" s="191"/>
      <c r="BA106" s="191"/>
      <c r="BB106" s="191"/>
      <c r="BC106" s="191"/>
      <c r="BD106" s="191"/>
      <c r="BE106" s="191"/>
      <c r="BF106" s="191"/>
      <c r="BG106" s="191"/>
      <c r="BH106" s="191"/>
      <c r="BI106" s="191"/>
      <c r="BJ106" s="191"/>
      <c r="BK106" s="191"/>
      <c r="BL106" s="191"/>
      <c r="BM106" s="191"/>
      <c r="BN106" s="191"/>
      <c r="BO106" s="191"/>
      <c r="BP106" s="191"/>
    </row>
    <row r="107" spans="1:68" s="115" customFormat="1" ht="12.75">
      <c r="A107" s="133" t="s">
        <v>101</v>
      </c>
      <c r="B107" s="134" t="e">
        <f>B68</f>
        <v>#DIV/0!</v>
      </c>
      <c r="C107" s="134" t="e">
        <f>B38</f>
        <v>#DIV/0!</v>
      </c>
      <c r="D107" s="135">
        <v>1</v>
      </c>
      <c r="E107" s="135">
        <v>2</v>
      </c>
      <c r="F107" s="135">
        <v>3</v>
      </c>
      <c r="G107" s="135">
        <v>4</v>
      </c>
      <c r="H107" s="135">
        <v>5</v>
      </c>
      <c r="I107" s="135">
        <v>6</v>
      </c>
      <c r="J107" s="210">
        <v>7</v>
      </c>
      <c r="K107" s="191"/>
      <c r="L107" s="191"/>
      <c r="M107" s="191"/>
      <c r="N107" s="191"/>
      <c r="O107" s="191"/>
      <c r="P107" s="191"/>
      <c r="Q107" s="191"/>
      <c r="R107" s="191"/>
      <c r="S107" s="191"/>
      <c r="T107" s="191"/>
      <c r="U107" s="191"/>
      <c r="V107" s="191"/>
      <c r="W107" s="191"/>
      <c r="X107" s="191"/>
      <c r="Y107" s="191"/>
      <c r="Z107" s="191"/>
      <c r="AA107" s="191"/>
      <c r="AB107" s="191"/>
      <c r="AC107" s="191"/>
      <c r="AD107" s="191"/>
      <c r="AE107" s="191"/>
      <c r="AF107" s="191"/>
      <c r="AG107" s="191"/>
      <c r="AH107" s="191"/>
      <c r="AI107" s="191"/>
      <c r="AJ107" s="191"/>
      <c r="AK107" s="191"/>
      <c r="AL107" s="191"/>
      <c r="AM107" s="191"/>
      <c r="AN107" s="191"/>
      <c r="AO107" s="191"/>
      <c r="AP107" s="191"/>
      <c r="AQ107" s="191"/>
      <c r="AR107" s="191"/>
      <c r="AS107" s="191"/>
      <c r="AT107" s="191"/>
      <c r="AU107" s="191"/>
      <c r="AV107" s="191"/>
      <c r="AW107" s="191"/>
      <c r="AX107" s="191"/>
      <c r="AY107" s="191"/>
      <c r="AZ107" s="191"/>
      <c r="BA107" s="191"/>
      <c r="BB107" s="191"/>
      <c r="BC107" s="191"/>
      <c r="BD107" s="191"/>
      <c r="BE107" s="191"/>
      <c r="BF107" s="191"/>
      <c r="BG107" s="191"/>
      <c r="BH107" s="191"/>
      <c r="BI107" s="191"/>
      <c r="BJ107" s="191"/>
      <c r="BK107" s="191"/>
      <c r="BL107" s="191"/>
      <c r="BM107" s="191"/>
      <c r="BN107" s="191"/>
      <c r="BO107" s="191"/>
      <c r="BP107" s="191"/>
    </row>
    <row r="108" spans="1:68" s="115" customFormat="1" ht="12.75">
      <c r="A108" s="133" t="s">
        <v>6</v>
      </c>
      <c r="B108" s="134" t="e">
        <f>B69</f>
        <v>#DIV/0!</v>
      </c>
      <c r="C108" s="134" t="e">
        <f>B39</f>
        <v>#DIV/0!</v>
      </c>
      <c r="D108" s="136" t="s">
        <v>110</v>
      </c>
      <c r="E108" s="135">
        <v>1</v>
      </c>
      <c r="F108" s="135">
        <v>2</v>
      </c>
      <c r="G108" s="135">
        <v>3</v>
      </c>
      <c r="H108" s="135">
        <v>4</v>
      </c>
      <c r="I108" s="135">
        <v>6</v>
      </c>
      <c r="J108" s="210">
        <v>7</v>
      </c>
      <c r="K108" s="191"/>
      <c r="L108" s="191"/>
      <c r="M108" s="191"/>
      <c r="N108" s="191"/>
      <c r="O108" s="191"/>
      <c r="P108" s="191"/>
      <c r="Q108" s="191"/>
      <c r="R108" s="191"/>
      <c r="S108" s="191"/>
      <c r="T108" s="191"/>
      <c r="U108" s="191"/>
      <c r="V108" s="191"/>
      <c r="W108" s="191"/>
      <c r="X108" s="191"/>
      <c r="Y108" s="191"/>
      <c r="Z108" s="191"/>
      <c r="AA108" s="191"/>
      <c r="AB108" s="191"/>
      <c r="AC108" s="191"/>
      <c r="AD108" s="191"/>
      <c r="AE108" s="191"/>
      <c r="AF108" s="191"/>
      <c r="AG108" s="191"/>
      <c r="AH108" s="191"/>
      <c r="AI108" s="191"/>
      <c r="AJ108" s="191"/>
      <c r="AK108" s="191"/>
      <c r="AL108" s="191"/>
      <c r="AM108" s="191"/>
      <c r="AN108" s="191"/>
      <c r="AO108" s="191"/>
      <c r="AP108" s="191"/>
      <c r="AQ108" s="191"/>
      <c r="AR108" s="191"/>
      <c r="AS108" s="191"/>
      <c r="AT108" s="191"/>
      <c r="AU108" s="191"/>
      <c r="AV108" s="191"/>
      <c r="AW108" s="191"/>
      <c r="AX108" s="191"/>
      <c r="AY108" s="191"/>
      <c r="AZ108" s="191"/>
      <c r="BA108" s="191"/>
      <c r="BB108" s="191"/>
      <c r="BC108" s="191"/>
      <c r="BD108" s="191"/>
      <c r="BE108" s="191"/>
      <c r="BF108" s="191"/>
      <c r="BG108" s="191"/>
      <c r="BH108" s="191"/>
      <c r="BI108" s="191"/>
      <c r="BJ108" s="191"/>
      <c r="BK108" s="191"/>
      <c r="BL108" s="191"/>
      <c r="BM108" s="191"/>
      <c r="BN108" s="191"/>
      <c r="BO108" s="191"/>
      <c r="BP108" s="191"/>
    </row>
    <row r="109" spans="1:68" s="115" customFormat="1" ht="12.75">
      <c r="A109" s="133" t="s">
        <v>102</v>
      </c>
      <c r="B109" s="134" t="e">
        <f>B70</f>
        <v>#DIV/0!</v>
      </c>
      <c r="C109" s="134" t="e">
        <f>B40</f>
        <v>#DIV/0!</v>
      </c>
      <c r="D109" s="136" t="s">
        <v>110</v>
      </c>
      <c r="E109" s="136" t="s">
        <v>110</v>
      </c>
      <c r="F109" s="135">
        <v>1</v>
      </c>
      <c r="G109" s="135">
        <v>2</v>
      </c>
      <c r="H109" s="135">
        <v>3</v>
      </c>
      <c r="I109" s="135">
        <v>5</v>
      </c>
      <c r="J109" s="210">
        <v>7</v>
      </c>
      <c r="K109" s="191"/>
      <c r="L109" s="191"/>
      <c r="M109" s="191"/>
      <c r="N109" s="191"/>
      <c r="O109" s="191"/>
      <c r="P109" s="191"/>
      <c r="Q109" s="191"/>
      <c r="R109" s="191"/>
      <c r="S109" s="191"/>
      <c r="T109" s="191"/>
      <c r="U109" s="191"/>
      <c r="V109" s="191"/>
      <c r="W109" s="191"/>
      <c r="X109" s="191"/>
      <c r="Y109" s="191"/>
      <c r="Z109" s="191"/>
      <c r="AA109" s="191"/>
      <c r="AB109" s="191"/>
      <c r="AC109" s="191"/>
      <c r="AD109" s="191"/>
      <c r="AE109" s="191"/>
      <c r="AF109" s="191"/>
      <c r="AG109" s="191"/>
      <c r="AH109" s="191"/>
      <c r="AI109" s="191"/>
      <c r="AJ109" s="191"/>
      <c r="AK109" s="191"/>
      <c r="AL109" s="191"/>
      <c r="AM109" s="191"/>
      <c r="AN109" s="191"/>
      <c r="AO109" s="191"/>
      <c r="AP109" s="191"/>
      <c r="AQ109" s="191"/>
      <c r="AR109" s="191"/>
      <c r="AS109" s="191"/>
      <c r="AT109" s="191"/>
      <c r="AU109" s="191"/>
      <c r="AV109" s="191"/>
      <c r="AW109" s="191"/>
      <c r="AX109" s="191"/>
      <c r="AY109" s="191"/>
      <c r="AZ109" s="191"/>
      <c r="BA109" s="191"/>
      <c r="BB109" s="191"/>
      <c r="BC109" s="191"/>
      <c r="BD109" s="191"/>
      <c r="BE109" s="191"/>
      <c r="BF109" s="191"/>
      <c r="BG109" s="191"/>
      <c r="BH109" s="191"/>
      <c r="BI109" s="191"/>
      <c r="BJ109" s="191"/>
      <c r="BK109" s="191"/>
      <c r="BL109" s="191"/>
      <c r="BM109" s="191"/>
      <c r="BN109" s="191"/>
      <c r="BO109" s="191"/>
      <c r="BP109" s="191"/>
    </row>
    <row r="110" spans="1:68" s="115" customFormat="1" ht="12.75">
      <c r="A110" s="133" t="s">
        <v>103</v>
      </c>
      <c r="B110" s="134" t="e">
        <f>B71</f>
        <v>#DIV/0!</v>
      </c>
      <c r="C110" s="134" t="e">
        <f>B41</f>
        <v>#DIV/0!</v>
      </c>
      <c r="D110" s="136" t="s">
        <v>110</v>
      </c>
      <c r="E110" s="136" t="s">
        <v>110</v>
      </c>
      <c r="F110" s="136" t="s">
        <v>110</v>
      </c>
      <c r="G110" s="135">
        <v>1</v>
      </c>
      <c r="H110" s="135">
        <v>2</v>
      </c>
      <c r="I110" s="135">
        <v>5</v>
      </c>
      <c r="J110" s="210">
        <v>7</v>
      </c>
      <c r="K110" s="191"/>
      <c r="L110" s="191"/>
      <c r="M110" s="191"/>
      <c r="N110" s="191"/>
      <c r="O110" s="191"/>
      <c r="P110" s="191"/>
      <c r="Q110" s="191"/>
      <c r="R110" s="191"/>
      <c r="S110" s="191"/>
      <c r="T110" s="191"/>
      <c r="U110" s="191"/>
      <c r="V110" s="191"/>
      <c r="W110" s="191"/>
      <c r="X110" s="191"/>
      <c r="Y110" s="191"/>
      <c r="Z110" s="191"/>
      <c r="AA110" s="191"/>
      <c r="AB110" s="191"/>
      <c r="AC110" s="191"/>
      <c r="AD110" s="191"/>
      <c r="AE110" s="191"/>
      <c r="AF110" s="191"/>
      <c r="AG110" s="191"/>
      <c r="AH110" s="191"/>
      <c r="AI110" s="191"/>
      <c r="AJ110" s="191"/>
      <c r="AK110" s="191"/>
      <c r="AL110" s="191"/>
      <c r="AM110" s="191"/>
      <c r="AN110" s="191"/>
      <c r="AO110" s="191"/>
      <c r="AP110" s="191"/>
      <c r="AQ110" s="191"/>
      <c r="AR110" s="191"/>
      <c r="AS110" s="191"/>
      <c r="AT110" s="191"/>
      <c r="AU110" s="191"/>
      <c r="AV110" s="191"/>
      <c r="AW110" s="191"/>
      <c r="AX110" s="191"/>
      <c r="AY110" s="191"/>
      <c r="AZ110" s="191"/>
      <c r="BA110" s="191"/>
      <c r="BB110" s="191"/>
      <c r="BC110" s="191"/>
      <c r="BD110" s="191"/>
      <c r="BE110" s="191"/>
      <c r="BF110" s="191"/>
      <c r="BG110" s="191"/>
      <c r="BH110" s="191"/>
      <c r="BI110" s="191"/>
      <c r="BJ110" s="191"/>
      <c r="BK110" s="191"/>
      <c r="BL110" s="191"/>
      <c r="BM110" s="191"/>
      <c r="BN110" s="191"/>
      <c r="BO110" s="191"/>
      <c r="BP110" s="191"/>
    </row>
    <row r="111" spans="1:68" s="115" customFormat="1" ht="12.75">
      <c r="A111" s="133" t="s">
        <v>104</v>
      </c>
      <c r="B111" s="134" t="e">
        <f>B72</f>
        <v>#DIV/0!</v>
      </c>
      <c r="C111" s="134" t="e">
        <f>B42</f>
        <v>#DIV/0!</v>
      </c>
      <c r="D111" s="136" t="s">
        <v>110</v>
      </c>
      <c r="E111" s="136" t="s">
        <v>110</v>
      </c>
      <c r="F111" s="136" t="s">
        <v>110</v>
      </c>
      <c r="G111" s="135" t="s">
        <v>110</v>
      </c>
      <c r="H111" s="135">
        <v>1</v>
      </c>
      <c r="I111" s="135">
        <v>4</v>
      </c>
      <c r="J111" s="210">
        <v>7</v>
      </c>
      <c r="K111" s="191"/>
      <c r="L111" s="191"/>
      <c r="M111" s="191"/>
      <c r="N111" s="191"/>
      <c r="O111" s="191"/>
      <c r="P111" s="191"/>
      <c r="Q111" s="191"/>
      <c r="R111" s="191"/>
      <c r="S111" s="191"/>
      <c r="T111" s="191"/>
      <c r="U111" s="191"/>
      <c r="V111" s="191"/>
      <c r="W111" s="191"/>
      <c r="X111" s="191"/>
      <c r="Y111" s="191"/>
      <c r="Z111" s="191"/>
      <c r="AA111" s="191"/>
      <c r="AB111" s="191"/>
      <c r="AC111" s="191"/>
      <c r="AD111" s="191"/>
      <c r="AE111" s="191"/>
      <c r="AF111" s="191"/>
      <c r="AG111" s="191"/>
      <c r="AH111" s="191"/>
      <c r="AI111" s="191"/>
      <c r="AJ111" s="191"/>
      <c r="AK111" s="191"/>
      <c r="AL111" s="191"/>
      <c r="AM111" s="191"/>
      <c r="AN111" s="191"/>
      <c r="AO111" s="191"/>
      <c r="AP111" s="191"/>
      <c r="AQ111" s="191"/>
      <c r="AR111" s="191"/>
      <c r="AS111" s="191"/>
      <c r="AT111" s="191"/>
      <c r="AU111" s="191"/>
      <c r="AV111" s="191"/>
      <c r="AW111" s="191"/>
      <c r="AX111" s="191"/>
      <c r="AY111" s="191"/>
      <c r="AZ111" s="191"/>
      <c r="BA111" s="191"/>
      <c r="BB111" s="191"/>
      <c r="BC111" s="191"/>
      <c r="BD111" s="191"/>
      <c r="BE111" s="191"/>
      <c r="BF111" s="191"/>
      <c r="BG111" s="191"/>
      <c r="BH111" s="191"/>
      <c r="BI111" s="191"/>
      <c r="BJ111" s="191"/>
      <c r="BK111" s="191"/>
      <c r="BL111" s="191"/>
      <c r="BM111" s="191"/>
      <c r="BN111" s="191"/>
      <c r="BO111" s="191"/>
      <c r="BP111" s="191"/>
    </row>
    <row r="112" spans="1:68" s="115" customFormat="1" ht="13.5" thickBot="1">
      <c r="A112" s="137" t="s">
        <v>108</v>
      </c>
      <c r="B112" s="138"/>
      <c r="C112" s="138"/>
      <c r="D112" s="139" t="s">
        <v>109</v>
      </c>
      <c r="E112" s="140"/>
      <c r="F112" s="140"/>
      <c r="G112" s="211"/>
      <c r="H112" s="211"/>
      <c r="I112" s="211"/>
      <c r="J112" s="212"/>
      <c r="K112" s="191"/>
      <c r="L112" s="191"/>
      <c r="M112" s="191"/>
      <c r="N112" s="191"/>
      <c r="O112" s="191"/>
      <c r="P112" s="191"/>
      <c r="Q112" s="191"/>
      <c r="R112" s="191"/>
      <c r="S112" s="191"/>
      <c r="T112" s="191"/>
      <c r="U112" s="191"/>
      <c r="V112" s="191"/>
      <c r="W112" s="191"/>
      <c r="X112" s="191"/>
      <c r="Y112" s="191"/>
      <c r="Z112" s="191"/>
      <c r="AA112" s="191"/>
      <c r="AB112" s="191"/>
      <c r="AC112" s="191"/>
      <c r="AD112" s="191"/>
      <c r="AE112" s="191"/>
      <c r="AF112" s="191"/>
      <c r="AG112" s="191"/>
      <c r="AH112" s="191"/>
      <c r="AI112" s="191"/>
      <c r="AJ112" s="191"/>
      <c r="AK112" s="191"/>
      <c r="AL112" s="191"/>
      <c r="AM112" s="191"/>
      <c r="AN112" s="191"/>
      <c r="AO112" s="191"/>
      <c r="AP112" s="191"/>
      <c r="AQ112" s="191"/>
      <c r="AR112" s="191"/>
      <c r="AS112" s="191"/>
      <c r="AT112" s="191"/>
      <c r="AU112" s="191"/>
      <c r="AV112" s="191"/>
      <c r="AW112" s="191"/>
      <c r="AX112" s="191"/>
      <c r="AY112" s="191"/>
      <c r="AZ112" s="191"/>
      <c r="BA112" s="191"/>
      <c r="BB112" s="191"/>
      <c r="BC112" s="191"/>
      <c r="BD112" s="191"/>
      <c r="BE112" s="191"/>
      <c r="BF112" s="191"/>
      <c r="BG112" s="191"/>
      <c r="BH112" s="191"/>
      <c r="BI112" s="191"/>
      <c r="BJ112" s="191"/>
      <c r="BK112" s="191"/>
      <c r="BL112" s="191"/>
      <c r="BM112" s="191"/>
      <c r="BN112" s="191"/>
      <c r="BO112" s="191"/>
      <c r="BP112" s="191"/>
    </row>
    <row r="113" spans="1:68" s="115" customFormat="1" ht="18">
      <c r="A113" s="146" t="s">
        <v>96</v>
      </c>
      <c r="B113" s="147" t="e">
        <f>E114</f>
        <v>#DIV/0!</v>
      </c>
      <c r="C113" s="148" t="e">
        <f>G115</f>
        <v>#DIV/0!</v>
      </c>
      <c r="D113" s="156" t="e">
        <f>IF((B107=TRUE)*AND(D105=TRUE),1," ")</f>
        <v>#DIV/0!</v>
      </c>
      <c r="E113" s="157" t="e">
        <f>IF((B107=TRUE)*AND(E105=TRUE),2," ")</f>
        <v>#DIV/0!</v>
      </c>
      <c r="F113" s="157" t="e">
        <f>IF((B107=TRUE)*AND(F105=TRUE),3," ")</f>
        <v>#DIV/0!</v>
      </c>
      <c r="G113" s="157" t="e">
        <f>IF((B107=TRUE)*AND(G105=TRUE),4," ")</f>
        <v>#DIV/0!</v>
      </c>
      <c r="H113" s="157" t="e">
        <f>IF((B107=TRUE)*AND(H105=TRUE),5," ")</f>
        <v>#DIV/0!</v>
      </c>
      <c r="I113" s="157" t="e">
        <f>IF((B107=TRUE)*AND(I105=TRUE),6," ")</f>
        <v>#DIV/0!</v>
      </c>
      <c r="J113" s="157" t="e">
        <f>IF((B107=TRUE)*AND(J105=TRUE),7," ")</f>
        <v>#DIV/0!</v>
      </c>
      <c r="K113" s="191"/>
      <c r="L113" s="191"/>
      <c r="M113" s="191"/>
      <c r="N113" s="191"/>
      <c r="O113" s="191"/>
      <c r="P113" s="191"/>
      <c r="Q113" s="191"/>
      <c r="R113" s="191"/>
      <c r="S113" s="191"/>
      <c r="T113" s="191"/>
      <c r="U113" s="191"/>
      <c r="V113" s="191"/>
      <c r="W113" s="191"/>
      <c r="X113" s="191"/>
      <c r="Y113" s="191"/>
      <c r="Z113" s="191"/>
      <c r="AA113" s="191"/>
      <c r="AB113" s="191"/>
      <c r="AC113" s="191"/>
      <c r="AD113" s="191"/>
      <c r="AE113" s="191"/>
      <c r="AF113" s="191"/>
      <c r="AG113" s="191"/>
      <c r="AH113" s="191"/>
      <c r="AI113" s="191"/>
      <c r="AJ113" s="191"/>
      <c r="AK113" s="191"/>
      <c r="AL113" s="191"/>
      <c r="AM113" s="191"/>
      <c r="AN113" s="191"/>
      <c r="AO113" s="191"/>
      <c r="AP113" s="191"/>
      <c r="AQ113" s="191"/>
      <c r="AR113" s="191"/>
      <c r="AS113" s="191"/>
      <c r="AT113" s="191"/>
      <c r="AU113" s="191"/>
      <c r="AV113" s="191"/>
      <c r="AW113" s="191"/>
      <c r="AX113" s="191"/>
      <c r="AY113" s="191"/>
      <c r="AZ113" s="191"/>
      <c r="BA113" s="191"/>
      <c r="BB113" s="191"/>
      <c r="BC113" s="191"/>
      <c r="BD113" s="191"/>
      <c r="BE113" s="191"/>
      <c r="BF113" s="191"/>
      <c r="BG113" s="191"/>
      <c r="BH113" s="191"/>
      <c r="BI113" s="191"/>
      <c r="BJ113" s="191"/>
      <c r="BK113" s="191"/>
      <c r="BL113" s="191"/>
      <c r="BM113" s="191"/>
      <c r="BN113" s="191"/>
      <c r="BO113" s="191"/>
      <c r="BP113" s="191"/>
    </row>
    <row r="114" spans="1:68" s="115" customFormat="1" ht="18">
      <c r="A114" s="141" t="e">
        <f>D113</f>
        <v>#DIV/0!</v>
      </c>
      <c r="B114" s="149" t="e">
        <f>F114</f>
        <v>#DIV/0!</v>
      </c>
      <c r="C114" s="150" t="e">
        <f>H115</f>
        <v>#DIV/0!</v>
      </c>
      <c r="D114" s="151" t="e">
        <f>H117</f>
        <v>#DIV/0!</v>
      </c>
      <c r="E114" s="157" t="e">
        <f>IF((B108=TRUE)*AND(E105=TRUE),1," ")</f>
        <v>#DIV/0!</v>
      </c>
      <c r="F114" s="157" t="e">
        <f>IF((B108=TRUE)*AND(F105=TRUE),2," ")</f>
        <v>#DIV/0!</v>
      </c>
      <c r="G114" s="157" t="e">
        <f>IF((B108=TRUE)*AND(G105=TRUE),3," ")</f>
        <v>#DIV/0!</v>
      </c>
      <c r="H114" s="157" t="e">
        <f>IF((B108=TRUE)*AND(H105=TRUE),4," ")</f>
        <v>#DIV/0!</v>
      </c>
      <c r="I114" s="157" t="e">
        <f>IF((B108=TRUE)*AND(I105=TRUE),6," ")</f>
        <v>#DIV/0!</v>
      </c>
      <c r="J114" s="157" t="e">
        <f>IF((B108=TRUE)*AND(J105=TRUE),7," ")</f>
        <v>#DIV/0!</v>
      </c>
      <c r="K114" s="191"/>
      <c r="L114" s="191"/>
      <c r="M114" s="191"/>
      <c r="N114" s="191"/>
      <c r="O114" s="191"/>
      <c r="P114" s="191"/>
      <c r="Q114" s="191"/>
      <c r="R114" s="191"/>
      <c r="S114" s="191"/>
      <c r="T114" s="191"/>
      <c r="U114" s="191"/>
      <c r="V114" s="191"/>
      <c r="W114" s="191"/>
      <c r="X114" s="191"/>
      <c r="Y114" s="191"/>
      <c r="Z114" s="191"/>
      <c r="AA114" s="191"/>
      <c r="AB114" s="191"/>
      <c r="AC114" s="191"/>
      <c r="AD114" s="191"/>
      <c r="AE114" s="191"/>
      <c r="AF114" s="191"/>
      <c r="AG114" s="191"/>
      <c r="AH114" s="191"/>
      <c r="AI114" s="191"/>
      <c r="AJ114" s="191"/>
      <c r="AK114" s="191"/>
      <c r="AL114" s="191"/>
      <c r="AM114" s="191"/>
      <c r="AN114" s="191"/>
      <c r="AO114" s="191"/>
      <c r="AP114" s="191"/>
      <c r="AQ114" s="191"/>
      <c r="AR114" s="191"/>
      <c r="AS114" s="191"/>
      <c r="AT114" s="191"/>
      <c r="AU114" s="191"/>
      <c r="AV114" s="191"/>
      <c r="AW114" s="191"/>
      <c r="AX114" s="191"/>
      <c r="AY114" s="191"/>
      <c r="AZ114" s="191"/>
      <c r="BA114" s="191"/>
      <c r="BB114" s="191"/>
      <c r="BC114" s="191"/>
      <c r="BD114" s="191"/>
      <c r="BE114" s="191"/>
      <c r="BF114" s="191"/>
      <c r="BG114" s="191"/>
      <c r="BH114" s="191"/>
      <c r="BI114" s="191"/>
      <c r="BJ114" s="191"/>
      <c r="BK114" s="191"/>
      <c r="BL114" s="191"/>
      <c r="BM114" s="191"/>
      <c r="BN114" s="191"/>
      <c r="BO114" s="191"/>
      <c r="BP114" s="191"/>
    </row>
    <row r="115" spans="1:68" s="115" customFormat="1" ht="18">
      <c r="A115" s="141" t="e">
        <f>E113</f>
        <v>#DIV/0!</v>
      </c>
      <c r="B115" s="149" t="e">
        <f>G114</f>
        <v>#DIV/0!</v>
      </c>
      <c r="C115" s="150" t="e">
        <f>I115</f>
        <v>#DIV/0!</v>
      </c>
      <c r="D115" s="151" t="e">
        <f>I117</f>
        <v>#DIV/0!</v>
      </c>
      <c r="E115" s="158"/>
      <c r="F115" s="157" t="e">
        <f>IF((B109=TRUE)*AND(F105=TRUE),1," ")</f>
        <v>#DIV/0!</v>
      </c>
      <c r="G115" s="157" t="e">
        <f>IF((B109=TRUE)*AND(G105=TRUE),2," ")</f>
        <v>#DIV/0!</v>
      </c>
      <c r="H115" s="157" t="e">
        <f>IF((B109=TRUE)*AND(H105=TRUE),3," ")</f>
        <v>#DIV/0!</v>
      </c>
      <c r="I115" s="157" t="e">
        <f>IF((B109=TRUE)*AND(I105=TRUE),5," ")</f>
        <v>#DIV/0!</v>
      </c>
      <c r="J115" s="157" t="e">
        <f>IF((B109=TRUE)*AND(J105=TRUE),7," ")</f>
        <v>#DIV/0!</v>
      </c>
      <c r="K115" s="191"/>
      <c r="L115" s="191"/>
      <c r="M115" s="191"/>
      <c r="N115" s="191"/>
      <c r="O115" s="191"/>
      <c r="P115" s="191"/>
      <c r="Q115" s="191"/>
      <c r="R115" s="191"/>
      <c r="S115" s="191"/>
      <c r="T115" s="191"/>
      <c r="U115" s="191"/>
      <c r="V115" s="191"/>
      <c r="W115" s="191"/>
      <c r="X115" s="191"/>
      <c r="Y115" s="191"/>
      <c r="Z115" s="191"/>
      <c r="AA115" s="191"/>
      <c r="AB115" s="191"/>
      <c r="AC115" s="191"/>
      <c r="AD115" s="191"/>
      <c r="AE115" s="191"/>
      <c r="AF115" s="191"/>
      <c r="AG115" s="191"/>
      <c r="AH115" s="191"/>
      <c r="AI115" s="191"/>
      <c r="AJ115" s="191"/>
      <c r="AK115" s="191"/>
      <c r="AL115" s="191"/>
      <c r="AM115" s="191"/>
      <c r="AN115" s="191"/>
      <c r="AO115" s="191"/>
      <c r="AP115" s="191"/>
      <c r="AQ115" s="191"/>
      <c r="AR115" s="191"/>
      <c r="AS115" s="191"/>
      <c r="AT115" s="191"/>
      <c r="AU115" s="191"/>
      <c r="AV115" s="191"/>
      <c r="AW115" s="191"/>
      <c r="AX115" s="191"/>
      <c r="AY115" s="191"/>
      <c r="AZ115" s="191"/>
      <c r="BA115" s="191"/>
      <c r="BB115" s="191"/>
      <c r="BC115" s="191"/>
      <c r="BD115" s="191"/>
      <c r="BE115" s="191"/>
      <c r="BF115" s="191"/>
      <c r="BG115" s="191"/>
      <c r="BH115" s="191"/>
      <c r="BI115" s="191"/>
      <c r="BJ115" s="191"/>
      <c r="BK115" s="191"/>
      <c r="BL115" s="191"/>
      <c r="BM115" s="191"/>
      <c r="BN115" s="191"/>
      <c r="BO115" s="191"/>
      <c r="BP115" s="191"/>
    </row>
    <row r="116" spans="1:68" s="115" customFormat="1" ht="18">
      <c r="A116" s="141" t="e">
        <f>F113</f>
        <v>#DIV/0!</v>
      </c>
      <c r="B116" s="149" t="e">
        <f>H114</f>
        <v>#DIV/0!</v>
      </c>
      <c r="C116" s="150" t="e">
        <f>J115</f>
        <v>#DIV/0!</v>
      </c>
      <c r="D116" s="151" t="e">
        <f>J117</f>
        <v>#DIV/0!</v>
      </c>
      <c r="E116" s="158"/>
      <c r="F116" s="158"/>
      <c r="G116" s="157" t="e">
        <f>IF((B110=TRUE)*AND(G105=TRUE),1," ")</f>
        <v>#DIV/0!</v>
      </c>
      <c r="H116" s="157" t="e">
        <f>IF((B110=TRUE)*AND(H105=TRUE),2," ")</f>
        <v>#DIV/0!</v>
      </c>
      <c r="I116" s="157" t="e">
        <f>IF((B110=TRUE)*AND(I105=TRUE),5," ")</f>
        <v>#DIV/0!</v>
      </c>
      <c r="J116" s="157" t="e">
        <f>IF((B110=TRUE)*AND(J105=TRUE),7," ")</f>
        <v>#DIV/0!</v>
      </c>
      <c r="K116" s="191"/>
      <c r="L116" s="191"/>
      <c r="M116" s="191"/>
      <c r="N116" s="191"/>
      <c r="O116" s="191"/>
      <c r="P116" s="191"/>
      <c r="Q116" s="191"/>
      <c r="R116" s="191"/>
      <c r="S116" s="191"/>
      <c r="T116" s="191"/>
      <c r="U116" s="191"/>
      <c r="V116" s="191"/>
      <c r="W116" s="191"/>
      <c r="X116" s="191"/>
      <c r="Y116" s="191"/>
      <c r="Z116" s="191"/>
      <c r="AA116" s="191"/>
      <c r="AB116" s="191"/>
      <c r="AC116" s="191"/>
      <c r="AD116" s="191"/>
      <c r="AE116" s="191"/>
      <c r="AF116" s="191"/>
      <c r="AG116" s="191"/>
      <c r="AH116" s="191"/>
      <c r="AI116" s="191"/>
      <c r="AJ116" s="191"/>
      <c r="AK116" s="191"/>
      <c r="AL116" s="191"/>
      <c r="AM116" s="191"/>
      <c r="AN116" s="191"/>
      <c r="AO116" s="191"/>
      <c r="AP116" s="191"/>
      <c r="AQ116" s="191"/>
      <c r="AR116" s="191"/>
      <c r="AS116" s="191"/>
      <c r="AT116" s="191"/>
      <c r="AU116" s="191"/>
      <c r="AV116" s="191"/>
      <c r="AW116" s="191"/>
      <c r="AX116" s="191"/>
      <c r="AY116" s="191"/>
      <c r="AZ116" s="191"/>
      <c r="BA116" s="191"/>
      <c r="BB116" s="191"/>
      <c r="BC116" s="191"/>
      <c r="BD116" s="191"/>
      <c r="BE116" s="191"/>
      <c r="BF116" s="191"/>
      <c r="BG116" s="191"/>
      <c r="BH116" s="191"/>
      <c r="BI116" s="191"/>
      <c r="BJ116" s="191"/>
      <c r="BK116" s="191"/>
      <c r="BL116" s="191"/>
      <c r="BM116" s="191"/>
      <c r="BN116" s="191"/>
      <c r="BO116" s="191"/>
      <c r="BP116" s="191"/>
    </row>
    <row r="117" spans="1:68" s="115" customFormat="1" ht="18">
      <c r="A117" s="141" t="e">
        <f>G113</f>
        <v>#DIV/0!</v>
      </c>
      <c r="B117" s="149" t="e">
        <f>I114</f>
        <v>#DIV/0!</v>
      </c>
      <c r="C117" s="150" t="e">
        <f>G116</f>
        <v>#DIV/0!</v>
      </c>
      <c r="D117" s="151"/>
      <c r="E117" s="158"/>
      <c r="F117" s="158"/>
      <c r="G117" s="158"/>
      <c r="H117" s="157" t="e">
        <f>IF((B111=TRUE)*AND(H105=TRUE),1," ")</f>
        <v>#DIV/0!</v>
      </c>
      <c r="I117" s="157" t="e">
        <f>IF((B111=TRUE)*AND(I105=TRUE),4," ")</f>
        <v>#DIV/0!</v>
      </c>
      <c r="J117" s="157" t="e">
        <f>IF((B111=TRUE)*AND(J105=TRUE),7," ")</f>
        <v>#DIV/0!</v>
      </c>
      <c r="K117" s="191"/>
      <c r="L117" s="191"/>
      <c r="M117" s="191"/>
      <c r="N117" s="191"/>
      <c r="O117" s="191"/>
      <c r="P117" s="191"/>
      <c r="Q117" s="191"/>
      <c r="R117" s="191"/>
      <c r="S117" s="191"/>
      <c r="T117" s="191"/>
      <c r="U117" s="191"/>
      <c r="V117" s="191"/>
      <c r="W117" s="191"/>
      <c r="X117" s="191"/>
      <c r="Y117" s="191"/>
      <c r="Z117" s="191"/>
      <c r="AA117" s="191"/>
      <c r="AB117" s="191"/>
      <c r="AC117" s="191"/>
      <c r="AD117" s="191"/>
      <c r="AE117" s="191"/>
      <c r="AF117" s="191"/>
      <c r="AG117" s="191"/>
      <c r="AH117" s="191"/>
      <c r="AI117" s="191"/>
      <c r="AJ117" s="191"/>
      <c r="AK117" s="191"/>
      <c r="AL117" s="191"/>
      <c r="AM117" s="191"/>
      <c r="AN117" s="191"/>
      <c r="AO117" s="191"/>
      <c r="AP117" s="191"/>
      <c r="AQ117" s="191"/>
      <c r="AR117" s="191"/>
      <c r="AS117" s="191"/>
      <c r="AT117" s="191"/>
      <c r="AU117" s="191"/>
      <c r="AV117" s="191"/>
      <c r="AW117" s="191"/>
      <c r="AX117" s="191"/>
      <c r="AY117" s="191"/>
      <c r="AZ117" s="191"/>
      <c r="BA117" s="191"/>
      <c r="BB117" s="191"/>
      <c r="BC117" s="191"/>
      <c r="BD117" s="191"/>
      <c r="BE117" s="191"/>
      <c r="BF117" s="191"/>
      <c r="BG117" s="191"/>
      <c r="BH117" s="191"/>
      <c r="BI117" s="191"/>
      <c r="BJ117" s="191"/>
      <c r="BK117" s="191"/>
      <c r="BL117" s="191"/>
      <c r="BM117" s="191"/>
      <c r="BN117" s="191"/>
      <c r="BO117" s="191"/>
      <c r="BP117" s="191"/>
    </row>
    <row r="118" spans="1:68" s="115" customFormat="1" ht="18">
      <c r="A118" s="141" t="e">
        <f>H113</f>
        <v>#DIV/0!</v>
      </c>
      <c r="B118" s="149" t="e">
        <f>J114</f>
        <v>#DIV/0!</v>
      </c>
      <c r="C118" s="150" t="e">
        <f>H116</f>
        <v>#DIV/0!</v>
      </c>
      <c r="D118" s="151"/>
      <c r="E118" s="158"/>
      <c r="F118" s="158"/>
      <c r="G118" s="158"/>
      <c r="H118" s="158"/>
      <c r="I118" s="158"/>
      <c r="J118" s="157"/>
      <c r="K118" s="191"/>
      <c r="L118" s="191"/>
      <c r="M118" s="191"/>
      <c r="N118" s="191"/>
      <c r="O118" s="191"/>
      <c r="P118" s="191"/>
      <c r="Q118" s="191"/>
      <c r="R118" s="191"/>
      <c r="S118" s="191"/>
      <c r="T118" s="191"/>
      <c r="U118" s="191"/>
      <c r="V118" s="191"/>
      <c r="W118" s="191"/>
      <c r="X118" s="191"/>
      <c r="Y118" s="191"/>
      <c r="Z118" s="191"/>
      <c r="AA118" s="191"/>
      <c r="AB118" s="191"/>
      <c r="AC118" s="191"/>
      <c r="AD118" s="191"/>
      <c r="AE118" s="191"/>
      <c r="AF118" s="191"/>
      <c r="AG118" s="191"/>
      <c r="AH118" s="191"/>
      <c r="AI118" s="191"/>
      <c r="AJ118" s="191"/>
      <c r="AK118" s="191"/>
      <c r="AL118" s="191"/>
      <c r="AM118" s="191"/>
      <c r="AN118" s="191"/>
      <c r="AO118" s="191"/>
      <c r="AP118" s="191"/>
      <c r="AQ118" s="191"/>
      <c r="AR118" s="191"/>
      <c r="AS118" s="191"/>
      <c r="AT118" s="191"/>
      <c r="AU118" s="191"/>
      <c r="AV118" s="191"/>
      <c r="AW118" s="191"/>
      <c r="AX118" s="191"/>
      <c r="AY118" s="191"/>
      <c r="AZ118" s="191"/>
      <c r="BA118" s="191"/>
      <c r="BB118" s="191"/>
      <c r="BC118" s="191"/>
      <c r="BD118" s="191"/>
      <c r="BE118" s="191"/>
      <c r="BF118" s="191"/>
      <c r="BG118" s="191"/>
      <c r="BH118" s="191"/>
      <c r="BI118" s="191"/>
      <c r="BJ118" s="191"/>
      <c r="BK118" s="191"/>
      <c r="BL118" s="191"/>
      <c r="BM118" s="191"/>
      <c r="BN118" s="191"/>
      <c r="BO118" s="191"/>
      <c r="BP118" s="191"/>
    </row>
    <row r="119" spans="1:68" s="115" customFormat="1" ht="18">
      <c r="A119" s="141" t="e">
        <f>I113</f>
        <v>#DIV/0!</v>
      </c>
      <c r="B119" s="149" t="e">
        <f>F115</f>
        <v>#DIV/0!</v>
      </c>
      <c r="C119" s="150" t="e">
        <f>I116</f>
        <v>#DIV/0!</v>
      </c>
      <c r="D119" s="151"/>
      <c r="E119" s="158"/>
      <c r="F119" s="158"/>
      <c r="G119" s="158"/>
      <c r="H119" s="158"/>
      <c r="I119" s="158"/>
      <c r="J119" s="158"/>
      <c r="K119" s="191"/>
      <c r="L119" s="191"/>
      <c r="M119" s="191"/>
      <c r="N119" s="191"/>
      <c r="O119" s="191"/>
      <c r="P119" s="191"/>
      <c r="Q119" s="191"/>
      <c r="R119" s="191"/>
      <c r="S119" s="191"/>
      <c r="T119" s="191"/>
      <c r="U119" s="191"/>
      <c r="V119" s="191"/>
      <c r="W119" s="191"/>
      <c r="X119" s="191"/>
      <c r="Y119" s="191"/>
      <c r="Z119" s="191"/>
      <c r="AA119" s="191"/>
      <c r="AB119" s="191"/>
      <c r="AC119" s="191"/>
      <c r="AD119" s="191"/>
      <c r="AE119" s="191"/>
      <c r="AF119" s="191"/>
      <c r="AG119" s="191"/>
      <c r="AH119" s="191"/>
      <c r="AI119" s="191"/>
      <c r="AJ119" s="191"/>
      <c r="AK119" s="191"/>
      <c r="AL119" s="191"/>
      <c r="AM119" s="191"/>
      <c r="AN119" s="191"/>
      <c r="AO119" s="191"/>
      <c r="AP119" s="191"/>
      <c r="AQ119" s="191"/>
      <c r="AR119" s="191"/>
      <c r="AS119" s="191"/>
      <c r="AT119" s="191"/>
      <c r="AU119" s="191"/>
      <c r="AV119" s="191"/>
      <c r="AW119" s="191"/>
      <c r="AX119" s="191"/>
      <c r="AY119" s="191"/>
      <c r="AZ119" s="191"/>
      <c r="BA119" s="191"/>
      <c r="BB119" s="191"/>
      <c r="BC119" s="191"/>
      <c r="BD119" s="191"/>
      <c r="BE119" s="191"/>
      <c r="BF119" s="191"/>
      <c r="BG119" s="191"/>
      <c r="BH119" s="191"/>
      <c r="BI119" s="191"/>
      <c r="BJ119" s="191"/>
      <c r="BK119" s="191"/>
      <c r="BL119" s="191"/>
      <c r="BM119" s="191"/>
      <c r="BN119" s="191"/>
      <c r="BO119" s="191"/>
      <c r="BP119" s="191"/>
    </row>
    <row r="120" spans="1:68" s="115" customFormat="1" ht="18.75" thickBot="1">
      <c r="A120" s="152" t="e">
        <f>J113</f>
        <v>#DIV/0!</v>
      </c>
      <c r="B120" s="153" t="e">
        <f>J116</f>
        <v>#DIV/0!</v>
      </c>
      <c r="C120" s="154"/>
      <c r="D120" s="155"/>
      <c r="E120" s="158"/>
      <c r="F120" s="158"/>
      <c r="G120" s="158"/>
      <c r="H120" s="158"/>
      <c r="I120" s="158"/>
      <c r="J120" s="158"/>
      <c r="K120" s="191"/>
      <c r="L120" s="191"/>
      <c r="M120" s="191"/>
      <c r="N120" s="191"/>
      <c r="O120" s="191"/>
      <c r="P120" s="191"/>
      <c r="Q120" s="191"/>
      <c r="R120" s="191"/>
      <c r="S120" s="191"/>
      <c r="T120" s="191"/>
      <c r="U120" s="191"/>
      <c r="V120" s="191"/>
      <c r="W120" s="191"/>
      <c r="X120" s="191"/>
      <c r="Y120" s="191"/>
      <c r="Z120" s="191"/>
      <c r="AA120" s="191"/>
      <c r="AB120" s="191"/>
      <c r="AC120" s="191"/>
      <c r="AD120" s="191"/>
      <c r="AE120" s="191"/>
      <c r="AF120" s="191"/>
      <c r="AG120" s="191"/>
      <c r="AH120" s="191"/>
      <c r="AI120" s="191"/>
      <c r="AJ120" s="191"/>
      <c r="AK120" s="191"/>
      <c r="AL120" s="191"/>
      <c r="AM120" s="191"/>
      <c r="AN120" s="191"/>
      <c r="AO120" s="191"/>
      <c r="AP120" s="191"/>
      <c r="AQ120" s="191"/>
      <c r="AR120" s="191"/>
      <c r="AS120" s="191"/>
      <c r="AT120" s="191"/>
      <c r="AU120" s="191"/>
      <c r="AV120" s="191"/>
      <c r="AW120" s="191"/>
      <c r="AX120" s="191"/>
      <c r="AY120" s="191"/>
      <c r="AZ120" s="191"/>
      <c r="BA120" s="191"/>
      <c r="BB120" s="191"/>
      <c r="BC120" s="191"/>
      <c r="BD120" s="191"/>
      <c r="BE120" s="191"/>
      <c r="BF120" s="191"/>
      <c r="BG120" s="191"/>
      <c r="BH120" s="191"/>
      <c r="BI120" s="191"/>
      <c r="BJ120" s="191"/>
      <c r="BK120" s="191"/>
      <c r="BL120" s="191"/>
      <c r="BM120" s="191"/>
      <c r="BN120" s="191"/>
      <c r="BO120" s="191"/>
      <c r="BP120" s="191"/>
    </row>
    <row r="121" spans="1:68" s="115" customFormat="1" ht="18">
      <c r="A121" s="142"/>
      <c r="B121" s="143"/>
      <c r="C121" s="144"/>
      <c r="D121" s="145"/>
      <c r="E121" s="145"/>
      <c r="F121" s="145"/>
      <c r="G121" s="158"/>
      <c r="H121" s="158"/>
      <c r="I121" s="158"/>
      <c r="J121" s="158"/>
      <c r="K121" s="191"/>
      <c r="L121" s="191"/>
      <c r="M121" s="191"/>
      <c r="N121" s="191"/>
      <c r="O121" s="191"/>
      <c r="P121" s="191"/>
      <c r="Q121" s="191"/>
      <c r="R121" s="191"/>
      <c r="S121" s="191"/>
      <c r="T121" s="191"/>
      <c r="U121" s="191"/>
      <c r="V121" s="191"/>
      <c r="W121" s="191"/>
      <c r="X121" s="191"/>
      <c r="Y121" s="191"/>
      <c r="Z121" s="191"/>
      <c r="AA121" s="191"/>
      <c r="AB121" s="191"/>
      <c r="AC121" s="191"/>
      <c r="AD121" s="191"/>
      <c r="AE121" s="191"/>
      <c r="AF121" s="191"/>
      <c r="AG121" s="191"/>
      <c r="AH121" s="191"/>
      <c r="AI121" s="191"/>
      <c r="AJ121" s="191"/>
      <c r="AK121" s="191"/>
      <c r="AL121" s="191"/>
      <c r="AM121" s="191"/>
      <c r="AN121" s="191"/>
      <c r="AO121" s="191"/>
      <c r="AP121" s="191"/>
      <c r="AQ121" s="191"/>
      <c r="AR121" s="191"/>
      <c r="AS121" s="191"/>
      <c r="AT121" s="191"/>
      <c r="AU121" s="191"/>
      <c r="AV121" s="191"/>
      <c r="AW121" s="191"/>
      <c r="AX121" s="191"/>
      <c r="AY121" s="191"/>
      <c r="AZ121" s="191"/>
      <c r="BA121" s="191"/>
      <c r="BB121" s="191"/>
      <c r="BC121" s="191"/>
      <c r="BD121" s="191"/>
      <c r="BE121" s="191"/>
      <c r="BF121" s="191"/>
      <c r="BG121" s="191"/>
      <c r="BH121" s="191"/>
      <c r="BI121" s="191"/>
      <c r="BJ121" s="191"/>
      <c r="BK121" s="191"/>
      <c r="BL121" s="191"/>
      <c r="BM121" s="191"/>
      <c r="BN121" s="191"/>
      <c r="BO121" s="191"/>
      <c r="BP121" s="191"/>
    </row>
    <row r="122" spans="1:68" s="115" customFormat="1" ht="18">
      <c r="A122" s="142"/>
      <c r="B122" s="143"/>
      <c r="C122" s="144"/>
      <c r="D122" s="145"/>
      <c r="E122" s="145"/>
      <c r="F122" s="145"/>
      <c r="G122" s="158"/>
      <c r="H122" s="158"/>
      <c r="I122" s="158"/>
      <c r="J122" s="158"/>
      <c r="K122" s="191"/>
      <c r="L122" s="191"/>
      <c r="M122" s="191"/>
      <c r="N122" s="191"/>
      <c r="O122" s="191"/>
      <c r="P122" s="191"/>
      <c r="Q122" s="191"/>
      <c r="R122" s="191"/>
      <c r="S122" s="191"/>
      <c r="T122" s="191"/>
      <c r="U122" s="191"/>
      <c r="V122" s="191"/>
      <c r="W122" s="191"/>
      <c r="X122" s="191"/>
      <c r="Y122" s="191"/>
      <c r="Z122" s="191"/>
      <c r="AA122" s="191"/>
      <c r="AB122" s="191"/>
      <c r="AC122" s="191"/>
      <c r="AD122" s="191"/>
      <c r="AE122" s="191"/>
      <c r="AF122" s="191"/>
      <c r="AG122" s="191"/>
      <c r="AH122" s="191"/>
      <c r="AI122" s="191"/>
      <c r="AJ122" s="191"/>
      <c r="AK122" s="191"/>
      <c r="AL122" s="191"/>
      <c r="AM122" s="191"/>
      <c r="AN122" s="191"/>
      <c r="AO122" s="191"/>
      <c r="AP122" s="191"/>
      <c r="AQ122" s="191"/>
      <c r="AR122" s="191"/>
      <c r="AS122" s="191"/>
      <c r="AT122" s="191"/>
      <c r="AU122" s="191"/>
      <c r="AV122" s="191"/>
      <c r="AW122" s="191"/>
      <c r="AX122" s="191"/>
      <c r="AY122" s="191"/>
      <c r="AZ122" s="191"/>
      <c r="BA122" s="191"/>
      <c r="BB122" s="191"/>
      <c r="BC122" s="191"/>
      <c r="BD122" s="191"/>
      <c r="BE122" s="191"/>
      <c r="BF122" s="191"/>
      <c r="BG122" s="191"/>
      <c r="BH122" s="191"/>
      <c r="BI122" s="191"/>
      <c r="BJ122" s="191"/>
      <c r="BK122" s="191"/>
      <c r="BL122" s="191"/>
      <c r="BM122" s="191"/>
      <c r="BN122" s="191"/>
      <c r="BO122" s="191"/>
      <c r="BP122" s="191"/>
    </row>
    <row r="123" spans="1:68" s="23" customFormat="1" ht="18">
      <c r="A123" s="159"/>
      <c r="B123" s="159"/>
      <c r="C123" s="159"/>
      <c r="D123" s="159"/>
      <c r="E123" s="159"/>
      <c r="F123" s="159"/>
      <c r="G123" s="159"/>
      <c r="H123" s="159"/>
      <c r="I123" s="159"/>
      <c r="J123" s="159"/>
      <c r="K123" s="174"/>
      <c r="L123" s="174"/>
      <c r="M123" s="174"/>
      <c r="N123" s="174"/>
      <c r="O123" s="174"/>
      <c r="P123" s="174"/>
      <c r="Q123" s="174"/>
      <c r="R123" s="174"/>
      <c r="S123" s="174"/>
      <c r="T123" s="174"/>
      <c r="U123" s="174"/>
      <c r="V123" s="174"/>
      <c r="W123" s="174"/>
      <c r="X123" s="174"/>
      <c r="Y123" s="174"/>
      <c r="Z123" s="174"/>
      <c r="AA123" s="174"/>
      <c r="AB123" s="174"/>
      <c r="AC123" s="174"/>
      <c r="AD123" s="174"/>
      <c r="AE123" s="174"/>
      <c r="AF123" s="174"/>
      <c r="AG123" s="174"/>
      <c r="AH123" s="174"/>
      <c r="AI123" s="174"/>
      <c r="AJ123" s="174"/>
      <c r="AK123" s="174"/>
      <c r="AL123" s="174"/>
      <c r="AM123" s="174"/>
      <c r="AN123" s="174"/>
      <c r="AO123" s="174"/>
      <c r="AP123" s="174"/>
      <c r="AQ123" s="174"/>
      <c r="AR123" s="174"/>
      <c r="AS123" s="174"/>
      <c r="AT123" s="174"/>
      <c r="AU123" s="174"/>
      <c r="AV123" s="174"/>
      <c r="AW123" s="174"/>
      <c r="AX123" s="174"/>
      <c r="AY123" s="174"/>
      <c r="AZ123" s="174"/>
      <c r="BA123" s="174"/>
      <c r="BB123" s="174"/>
      <c r="BC123" s="174"/>
      <c r="BD123" s="174"/>
      <c r="BE123" s="174"/>
      <c r="BF123" s="174"/>
      <c r="BG123" s="174"/>
      <c r="BH123" s="174"/>
      <c r="BI123" s="174"/>
      <c r="BJ123" s="174"/>
      <c r="BK123" s="174"/>
      <c r="BL123" s="174"/>
      <c r="BM123" s="174"/>
      <c r="BN123" s="174"/>
      <c r="BO123" s="174"/>
      <c r="BP123" s="174"/>
    </row>
    <row r="124" spans="1:68" s="23" customFormat="1" ht="13.5" thickBot="1">
      <c r="A124" s="23" t="s">
        <v>21</v>
      </c>
      <c r="G124" s="174"/>
      <c r="H124" s="174"/>
      <c r="I124" s="174"/>
      <c r="J124" s="174"/>
      <c r="K124" s="174"/>
      <c r="L124" s="174"/>
      <c r="M124" s="174"/>
      <c r="N124" s="174"/>
      <c r="O124" s="174"/>
      <c r="P124" s="174"/>
      <c r="Q124" s="174"/>
      <c r="R124" s="174"/>
      <c r="S124" s="174"/>
      <c r="T124" s="174"/>
      <c r="U124" s="174"/>
      <c r="V124" s="174"/>
      <c r="W124" s="174"/>
      <c r="X124" s="174"/>
      <c r="Y124" s="174"/>
      <c r="Z124" s="174"/>
      <c r="AA124" s="174"/>
      <c r="AB124" s="174"/>
      <c r="AC124" s="174"/>
      <c r="AD124" s="174"/>
      <c r="AE124" s="174"/>
      <c r="AF124" s="174"/>
      <c r="AG124" s="174"/>
      <c r="AH124" s="174"/>
      <c r="AI124" s="174"/>
      <c r="AJ124" s="174"/>
      <c r="AK124" s="174"/>
      <c r="AL124" s="174"/>
      <c r="AM124" s="174"/>
      <c r="AN124" s="174"/>
      <c r="AO124" s="174"/>
      <c r="AP124" s="174"/>
      <c r="AQ124" s="174"/>
      <c r="AR124" s="174"/>
      <c r="AS124" s="174"/>
      <c r="AT124" s="174"/>
      <c r="AU124" s="174"/>
      <c r="AV124" s="174"/>
      <c r="AW124" s="174"/>
      <c r="AX124" s="174"/>
      <c r="AY124" s="174"/>
      <c r="AZ124" s="174"/>
      <c r="BA124" s="174"/>
      <c r="BB124" s="174"/>
      <c r="BC124" s="174"/>
      <c r="BD124" s="174"/>
      <c r="BE124" s="174"/>
      <c r="BF124" s="174"/>
      <c r="BG124" s="174"/>
      <c r="BH124" s="174"/>
      <c r="BI124" s="174"/>
      <c r="BJ124" s="174"/>
      <c r="BK124" s="174"/>
      <c r="BL124" s="174"/>
      <c r="BM124" s="174"/>
      <c r="BN124" s="174"/>
      <c r="BO124" s="174"/>
      <c r="BP124" s="174"/>
    </row>
    <row r="125" spans="1:68" s="23" customFormat="1" ht="13.5" thickBot="1">
      <c r="A125" s="160" t="s">
        <v>22</v>
      </c>
      <c r="B125" s="161" t="s">
        <v>10</v>
      </c>
      <c r="C125" s="162"/>
      <c r="G125" s="175" t="s">
        <v>23</v>
      </c>
      <c r="H125" s="176" t="s">
        <v>10</v>
      </c>
      <c r="I125" s="177"/>
      <c r="J125" s="174"/>
      <c r="K125" s="174"/>
      <c r="L125" s="174"/>
      <c r="M125" s="175" t="s">
        <v>24</v>
      </c>
      <c r="N125" s="176" t="s">
        <v>10</v>
      </c>
      <c r="O125" s="177"/>
      <c r="P125" s="174"/>
      <c r="Q125" s="174"/>
      <c r="R125" s="174"/>
      <c r="S125" s="175" t="s">
        <v>25</v>
      </c>
      <c r="T125" s="176" t="s">
        <v>10</v>
      </c>
      <c r="U125" s="177"/>
      <c r="V125" s="174"/>
      <c r="W125" s="174"/>
      <c r="X125" s="174"/>
      <c r="Y125" s="174"/>
      <c r="Z125" s="174"/>
      <c r="AA125" s="174"/>
      <c r="AB125" s="174"/>
      <c r="AC125" s="174"/>
      <c r="AD125" s="174"/>
      <c r="AE125" s="174"/>
      <c r="AF125" s="174"/>
      <c r="AG125" s="174"/>
      <c r="AH125" s="174"/>
      <c r="AI125" s="174"/>
      <c r="AJ125" s="174"/>
      <c r="AK125" s="174"/>
      <c r="AL125" s="174"/>
      <c r="AM125" s="174"/>
      <c r="AN125" s="174"/>
      <c r="AO125" s="174"/>
      <c r="AP125" s="174"/>
      <c r="AQ125" s="174"/>
      <c r="AR125" s="174"/>
      <c r="AS125" s="174"/>
      <c r="AT125" s="174"/>
      <c r="AU125" s="174"/>
      <c r="AV125" s="174"/>
      <c r="AW125" s="174"/>
      <c r="AX125" s="174"/>
      <c r="AY125" s="174"/>
      <c r="AZ125" s="174"/>
      <c r="BA125" s="174"/>
      <c r="BB125" s="174"/>
      <c r="BC125" s="174"/>
      <c r="BD125" s="174"/>
      <c r="BE125" s="174"/>
      <c r="BF125" s="174"/>
      <c r="BG125" s="174"/>
      <c r="BH125" s="174"/>
      <c r="BI125" s="174"/>
      <c r="BJ125" s="174"/>
      <c r="BK125" s="174"/>
      <c r="BL125" s="174"/>
      <c r="BM125" s="174"/>
      <c r="BN125" s="174"/>
      <c r="BO125" s="174"/>
      <c r="BP125" s="174"/>
    </row>
    <row r="126" spans="1:68" s="23" customFormat="1" ht="12.75">
      <c r="A126" s="163">
        <v>0.5</v>
      </c>
      <c r="B126" s="164">
        <f>IF(B83&lt;=0.9,0.5,FALSE)</f>
        <v>0.5</v>
      </c>
      <c r="C126" s="165"/>
      <c r="G126" s="178">
        <v>0.5</v>
      </c>
      <c r="H126" s="179" t="b">
        <f>IF(H83&gt;=14.38,0.5,FALSE)</f>
        <v>0</v>
      </c>
      <c r="I126" s="180"/>
      <c r="J126" s="174"/>
      <c r="K126" s="174"/>
      <c r="L126" s="174"/>
      <c r="M126" s="178">
        <v>0.5</v>
      </c>
      <c r="N126" s="179">
        <f>IF(N83&lt;=2,0.5,FALSE)</f>
        <v>0.5</v>
      </c>
      <c r="O126" s="180"/>
      <c r="P126" s="174"/>
      <c r="Q126" s="174"/>
      <c r="R126" s="174"/>
      <c r="S126" s="178">
        <v>0.5</v>
      </c>
      <c r="T126" s="179">
        <f>IF(T83&lt;=1,0.5,FALSE)</f>
        <v>0.5</v>
      </c>
      <c r="U126" s="180"/>
      <c r="V126" s="174"/>
      <c r="W126" s="174"/>
      <c r="X126" s="174"/>
      <c r="Y126" s="174"/>
      <c r="Z126" s="174"/>
      <c r="AA126" s="174"/>
      <c r="AB126" s="174"/>
      <c r="AC126" s="174"/>
      <c r="AD126" s="174"/>
      <c r="AE126" s="174"/>
      <c r="AF126" s="174"/>
      <c r="AG126" s="174"/>
      <c r="AH126" s="174"/>
      <c r="AI126" s="174"/>
      <c r="AJ126" s="174"/>
      <c r="AK126" s="174"/>
      <c r="AL126" s="174"/>
      <c r="AM126" s="174"/>
      <c r="AN126" s="174"/>
      <c r="AO126" s="174"/>
      <c r="AP126" s="174"/>
      <c r="AQ126" s="174"/>
      <c r="AR126" s="174"/>
      <c r="AS126" s="174"/>
      <c r="AT126" s="174"/>
      <c r="AU126" s="174"/>
      <c r="AV126" s="174"/>
      <c r="AW126" s="174"/>
      <c r="AX126" s="174"/>
      <c r="AY126" s="174"/>
      <c r="AZ126" s="174"/>
      <c r="BA126" s="174"/>
      <c r="BB126" s="174"/>
      <c r="BC126" s="174"/>
      <c r="BD126" s="174"/>
      <c r="BE126" s="174"/>
      <c r="BF126" s="174"/>
      <c r="BG126" s="174"/>
      <c r="BH126" s="174"/>
      <c r="BI126" s="174"/>
      <c r="BJ126" s="174"/>
      <c r="BK126" s="174"/>
      <c r="BL126" s="174"/>
      <c r="BM126" s="174"/>
      <c r="BN126" s="174"/>
      <c r="BO126" s="174"/>
      <c r="BP126" s="174"/>
    </row>
    <row r="127" spans="1:68" s="23" customFormat="1" ht="12.75">
      <c r="A127" s="166">
        <v>0.6</v>
      </c>
      <c r="B127" s="167" t="b">
        <f>IF(D127+E127=2,0.6,FALSE)</f>
        <v>0</v>
      </c>
      <c r="C127" s="168"/>
      <c r="D127" s="23">
        <f>IF(B83&gt;=1,1,0)</f>
        <v>0</v>
      </c>
      <c r="E127" s="23">
        <f>IF(B83&lt;1.2,1,0)</f>
        <v>1</v>
      </c>
      <c r="G127" s="181">
        <v>0.6</v>
      </c>
      <c r="H127" s="182" t="b">
        <f>IF(J127+K127=2,0.6,FALSE)</f>
        <v>0</v>
      </c>
      <c r="I127" s="183"/>
      <c r="J127" s="174">
        <f>IF(H83&lt;=13.1,1,0)</f>
        <v>1</v>
      </c>
      <c r="K127" s="174">
        <f>IF(H83&gt;12.7,1,0)</f>
        <v>0</v>
      </c>
      <c r="L127" s="174"/>
      <c r="M127" s="181">
        <v>0.6</v>
      </c>
      <c r="N127" s="182" t="b">
        <f>IF(P127+Q127=2,0.6,FALSE)</f>
        <v>0</v>
      </c>
      <c r="O127" s="183"/>
      <c r="P127" s="174">
        <f>IF(N83&gt;=3,1,0)</f>
        <v>0</v>
      </c>
      <c r="Q127" s="174">
        <f>IF(N83&lt;3,1,0)</f>
        <v>1</v>
      </c>
      <c r="R127" s="174"/>
      <c r="S127" s="181">
        <v>0.6</v>
      </c>
      <c r="T127" s="182" t="b">
        <f>IF(V127+W127=2,0.6,FALSE)</f>
        <v>0</v>
      </c>
      <c r="U127" s="183"/>
      <c r="V127" s="174">
        <f>IF(T83&gt;=2,1,0)</f>
        <v>0</v>
      </c>
      <c r="W127" s="174">
        <f>IF(T83&lt;2,1,0)</f>
        <v>1</v>
      </c>
      <c r="X127" s="174"/>
      <c r="Y127" s="174"/>
      <c r="Z127" s="174"/>
      <c r="AA127" s="174"/>
      <c r="AB127" s="174"/>
      <c r="AC127" s="174"/>
      <c r="AD127" s="174"/>
      <c r="AE127" s="174"/>
      <c r="AF127" s="174"/>
      <c r="AG127" s="174"/>
      <c r="AH127" s="174"/>
      <c r="AI127" s="174"/>
      <c r="AJ127" s="174"/>
      <c r="AK127" s="174"/>
      <c r="AL127" s="174"/>
      <c r="AM127" s="174"/>
      <c r="AN127" s="174"/>
      <c r="AO127" s="174"/>
      <c r="AP127" s="174"/>
      <c r="AQ127" s="174"/>
      <c r="AR127" s="174"/>
      <c r="AS127" s="174"/>
      <c r="AT127" s="174"/>
      <c r="AU127" s="174"/>
      <c r="AV127" s="174"/>
      <c r="AW127" s="174"/>
      <c r="AX127" s="174"/>
      <c r="AY127" s="174"/>
      <c r="AZ127" s="174"/>
      <c r="BA127" s="174"/>
      <c r="BB127" s="174"/>
      <c r="BC127" s="174"/>
      <c r="BD127" s="174"/>
      <c r="BE127" s="174"/>
      <c r="BF127" s="174"/>
      <c r="BG127" s="174"/>
      <c r="BH127" s="174"/>
      <c r="BI127" s="174"/>
      <c r="BJ127" s="174"/>
      <c r="BK127" s="174"/>
      <c r="BL127" s="174"/>
      <c r="BM127" s="174"/>
      <c r="BN127" s="174"/>
      <c r="BO127" s="174"/>
      <c r="BP127" s="174"/>
    </row>
    <row r="128" spans="1:68" s="23" customFormat="1" ht="12.75">
      <c r="A128" s="166">
        <v>0.7</v>
      </c>
      <c r="B128" s="167" t="b">
        <f>IF(D128+E128=2,0.7,FALSE)</f>
        <v>0</v>
      </c>
      <c r="C128" s="168"/>
      <c r="D128" s="23">
        <f>IF(B83&gt;=1.2,1,0)</f>
        <v>0</v>
      </c>
      <c r="E128" s="23">
        <f>IF(B83&lt;1.3,1,0)</f>
        <v>1</v>
      </c>
      <c r="G128" s="181">
        <v>0.7</v>
      </c>
      <c r="H128" s="182" t="b">
        <f>IF(J128+K128=2,0.7,FALSE)</f>
        <v>0</v>
      </c>
      <c r="I128" s="183"/>
      <c r="J128" s="174">
        <f>IF(H83&lt;=12.07,1,0)</f>
        <v>1</v>
      </c>
      <c r="K128" s="174">
        <f>IF(H83&gt;11,1,0)</f>
        <v>0</v>
      </c>
      <c r="L128" s="174"/>
      <c r="M128" s="181">
        <v>0.7</v>
      </c>
      <c r="N128" s="182" t="b">
        <f>IF(P128+Q128=2,0.7,FALSE)</f>
        <v>0</v>
      </c>
      <c r="O128" s="183"/>
      <c r="P128" s="174">
        <f>IF(N83&gt;=3,1,0)</f>
        <v>0</v>
      </c>
      <c r="Q128" s="174">
        <f>IF(N83&lt;4,1,0)</f>
        <v>1</v>
      </c>
      <c r="R128" s="174"/>
      <c r="S128" s="181">
        <v>0.7</v>
      </c>
      <c r="T128" s="182" t="b">
        <f>IF(V128+W128=2,0.7,FALSE)</f>
        <v>0</v>
      </c>
      <c r="U128" s="183"/>
      <c r="V128" s="174">
        <f>IF(T83&gt;=2,1,0)</f>
        <v>0</v>
      </c>
      <c r="W128" s="174">
        <f>IF(T83&lt;2,1,0)</f>
        <v>1</v>
      </c>
      <c r="X128" s="174"/>
      <c r="Y128" s="174"/>
      <c r="Z128" s="174"/>
      <c r="AA128" s="174"/>
      <c r="AB128" s="174"/>
      <c r="AC128" s="174"/>
      <c r="AD128" s="174"/>
      <c r="AE128" s="174"/>
      <c r="AF128" s="174"/>
      <c r="AG128" s="174"/>
      <c r="AH128" s="174"/>
      <c r="AI128" s="174"/>
      <c r="AJ128" s="174"/>
      <c r="AK128" s="174"/>
      <c r="AL128" s="174"/>
      <c r="AM128" s="174"/>
      <c r="AN128" s="174"/>
      <c r="AO128" s="174"/>
      <c r="AP128" s="174"/>
      <c r="AQ128" s="174"/>
      <c r="AR128" s="174"/>
      <c r="AS128" s="174"/>
      <c r="AT128" s="174"/>
      <c r="AU128" s="174"/>
      <c r="AV128" s="174"/>
      <c r="AW128" s="174"/>
      <c r="AX128" s="174"/>
      <c r="AY128" s="174"/>
      <c r="AZ128" s="174"/>
      <c r="BA128" s="174"/>
      <c r="BB128" s="174"/>
      <c r="BC128" s="174"/>
      <c r="BD128" s="174"/>
      <c r="BE128" s="174"/>
      <c r="BF128" s="174"/>
      <c r="BG128" s="174"/>
      <c r="BH128" s="174"/>
      <c r="BI128" s="174"/>
      <c r="BJ128" s="174"/>
      <c r="BK128" s="174"/>
      <c r="BL128" s="174"/>
      <c r="BM128" s="174"/>
      <c r="BN128" s="174"/>
      <c r="BO128" s="174"/>
      <c r="BP128" s="174"/>
    </row>
    <row r="129" spans="1:68" s="23" customFormat="1" ht="12.75">
      <c r="A129" s="166">
        <v>0.8</v>
      </c>
      <c r="B129" s="167" t="b">
        <f>IF(D129+E129=2,0.8,FALSE)</f>
        <v>0</v>
      </c>
      <c r="C129" s="168"/>
      <c r="D129" s="23">
        <f>IF(B83&gt;=1.3,1,0)</f>
        <v>0</v>
      </c>
      <c r="E129" s="23">
        <f>IF(B83&lt;1.5,1,0)</f>
        <v>1</v>
      </c>
      <c r="G129" s="181">
        <v>0.8</v>
      </c>
      <c r="H129" s="182" t="b">
        <f>IF(J129+K129=2,0.8,FALSE)</f>
        <v>0</v>
      </c>
      <c r="I129" s="183"/>
      <c r="J129" s="174">
        <f>IF(H83&lt;=11,1,0)</f>
        <v>1</v>
      </c>
      <c r="K129" s="174">
        <f>IF(H83&gt;10.3,1,0)</f>
        <v>0</v>
      </c>
      <c r="L129" s="174"/>
      <c r="M129" s="181">
        <v>0.8</v>
      </c>
      <c r="N129" s="182" t="b">
        <f>IF(P129+Q129=2,0.8,FALSE)</f>
        <v>0</v>
      </c>
      <c r="O129" s="183"/>
      <c r="P129" s="174">
        <f>IF(N83&gt;=4,1,0)</f>
        <v>0</v>
      </c>
      <c r="Q129" s="174">
        <f>IF(N83&lt;4,1,0)</f>
        <v>1</v>
      </c>
      <c r="R129" s="174"/>
      <c r="S129" s="181">
        <v>0.8</v>
      </c>
      <c r="T129" s="182" t="b">
        <f>IF(V129+W129=2,0.8,FALSE)</f>
        <v>0</v>
      </c>
      <c r="U129" s="183"/>
      <c r="V129" s="174">
        <f>IF(T83&gt;=2,1,0)</f>
        <v>0</v>
      </c>
      <c r="W129" s="174">
        <f>IF(T83&lt;3,1,0)</f>
        <v>1</v>
      </c>
      <c r="X129" s="174"/>
      <c r="Y129" s="174"/>
      <c r="Z129" s="174"/>
      <c r="AA129" s="174"/>
      <c r="AB129" s="174"/>
      <c r="AC129" s="174"/>
      <c r="AD129" s="174"/>
      <c r="AE129" s="174"/>
      <c r="AF129" s="174"/>
      <c r="AG129" s="174"/>
      <c r="AH129" s="174"/>
      <c r="AI129" s="174"/>
      <c r="AJ129" s="174"/>
      <c r="AK129" s="174"/>
      <c r="AL129" s="174"/>
      <c r="AM129" s="174"/>
      <c r="AN129" s="174"/>
      <c r="AO129" s="174"/>
      <c r="AP129" s="174"/>
      <c r="AQ129" s="174"/>
      <c r="AR129" s="174"/>
      <c r="AS129" s="174"/>
      <c r="AT129" s="174"/>
      <c r="AU129" s="174"/>
      <c r="AV129" s="174"/>
      <c r="AW129" s="174"/>
      <c r="AX129" s="174"/>
      <c r="AY129" s="174"/>
      <c r="AZ129" s="174"/>
      <c r="BA129" s="174"/>
      <c r="BB129" s="174"/>
      <c r="BC129" s="174"/>
      <c r="BD129" s="174"/>
      <c r="BE129" s="174"/>
      <c r="BF129" s="174"/>
      <c r="BG129" s="174"/>
      <c r="BH129" s="174"/>
      <c r="BI129" s="174"/>
      <c r="BJ129" s="174"/>
      <c r="BK129" s="174"/>
      <c r="BL129" s="174"/>
      <c r="BM129" s="174"/>
      <c r="BN129" s="174"/>
      <c r="BO129" s="174"/>
      <c r="BP129" s="174"/>
    </row>
    <row r="130" spans="1:68" s="23" customFormat="1" ht="12.75">
      <c r="A130" s="166">
        <v>0.9</v>
      </c>
      <c r="B130" s="167" t="b">
        <f>IF(D130+E130=2,0.9,FALSE)</f>
        <v>0</v>
      </c>
      <c r="C130" s="168"/>
      <c r="D130" s="23">
        <f>IF(B83&gt;=1.5,1,0)</f>
        <v>0</v>
      </c>
      <c r="E130" s="23">
        <f>IF(B83&lt;1.7,1,0)</f>
        <v>1</v>
      </c>
      <c r="G130" s="181">
        <v>0.9</v>
      </c>
      <c r="H130" s="182" t="b">
        <f>IF(J130+K130=2,0.9,FALSE)</f>
        <v>0</v>
      </c>
      <c r="I130" s="183"/>
      <c r="J130" s="174">
        <f>IF(H83&lt;=10.03,1,0)</f>
        <v>1</v>
      </c>
      <c r="K130" s="174">
        <f>IF(H83&gt;9.15,1,0)</f>
        <v>0</v>
      </c>
      <c r="L130" s="174"/>
      <c r="M130" s="181">
        <v>0.9</v>
      </c>
      <c r="N130" s="182" t="b">
        <f>IF(P130+Q130=2,0.9,FALSE)</f>
        <v>0</v>
      </c>
      <c r="O130" s="183"/>
      <c r="P130" s="174">
        <f>IF(N83&gt;=4,1,0)</f>
        <v>0</v>
      </c>
      <c r="Q130" s="174">
        <f>IF(N83&lt;5,1,0)</f>
        <v>1</v>
      </c>
      <c r="R130" s="174"/>
      <c r="S130" s="181">
        <v>0.9</v>
      </c>
      <c r="T130" s="182" t="b">
        <f>IF(V130+W130=2,0.9,FALSE)</f>
        <v>0</v>
      </c>
      <c r="U130" s="183"/>
      <c r="V130" s="174">
        <f>IF(T83&gt;=3,1,0)</f>
        <v>0</v>
      </c>
      <c r="W130" s="174">
        <f>IF(T83&lt;3,1,0)</f>
        <v>1</v>
      </c>
      <c r="X130" s="174"/>
      <c r="Y130" s="174"/>
      <c r="Z130" s="174"/>
      <c r="AA130" s="174"/>
      <c r="AB130" s="174"/>
      <c r="AC130" s="174"/>
      <c r="AD130" s="174"/>
      <c r="AE130" s="174"/>
      <c r="AF130" s="174"/>
      <c r="AG130" s="174"/>
      <c r="AH130" s="174"/>
      <c r="AI130" s="174"/>
      <c r="AJ130" s="174"/>
      <c r="AK130" s="174"/>
      <c r="AL130" s="174"/>
      <c r="AM130" s="174"/>
      <c r="AN130" s="174"/>
      <c r="AO130" s="174"/>
      <c r="AP130" s="174"/>
      <c r="AQ130" s="174"/>
      <c r="AR130" s="174"/>
      <c r="AS130" s="174"/>
      <c r="AT130" s="174"/>
      <c r="AU130" s="174"/>
      <c r="AV130" s="174"/>
      <c r="AW130" s="174"/>
      <c r="AX130" s="174"/>
      <c r="AY130" s="174"/>
      <c r="AZ130" s="174"/>
      <c r="BA130" s="174"/>
      <c r="BB130" s="174"/>
      <c r="BC130" s="174"/>
      <c r="BD130" s="174"/>
      <c r="BE130" s="174"/>
      <c r="BF130" s="174"/>
      <c r="BG130" s="174"/>
      <c r="BH130" s="174"/>
      <c r="BI130" s="174"/>
      <c r="BJ130" s="174"/>
      <c r="BK130" s="174"/>
      <c r="BL130" s="174"/>
      <c r="BM130" s="174"/>
      <c r="BN130" s="174"/>
      <c r="BO130" s="174"/>
      <c r="BP130" s="174"/>
    </row>
    <row r="131" spans="1:68" s="23" customFormat="1" ht="12.75">
      <c r="A131" s="166">
        <v>1</v>
      </c>
      <c r="B131" s="167" t="b">
        <f>IF(D131+E131=2,1,FALSE)</f>
        <v>0</v>
      </c>
      <c r="C131" s="168"/>
      <c r="D131" s="23">
        <f>IF(B83&gt;=1.7,1,0)</f>
        <v>0</v>
      </c>
      <c r="E131" s="23">
        <f>IF(B83&lt;1.9,1,0)</f>
        <v>1</v>
      </c>
      <c r="G131" s="181">
        <v>1</v>
      </c>
      <c r="H131" s="182" t="b">
        <f>IF(J131+K131=2,1,FALSE)</f>
        <v>0</v>
      </c>
      <c r="I131" s="183"/>
      <c r="J131" s="174">
        <f>IF(H83&lt;=9.15,1,0)</f>
        <v>1</v>
      </c>
      <c r="K131" s="174">
        <f>IF(H83&gt;8.4,1,0)</f>
        <v>0</v>
      </c>
      <c r="L131" s="174"/>
      <c r="M131" s="181">
        <v>1</v>
      </c>
      <c r="N131" s="182" t="b">
        <f>IF(P131+Q131=2,1,FALSE)</f>
        <v>0</v>
      </c>
      <c r="O131" s="183"/>
      <c r="P131" s="174">
        <f>IF(N83&gt;=5,1,0)</f>
        <v>0</v>
      </c>
      <c r="Q131" s="174">
        <f>IF(N83&lt;6,1,0)</f>
        <v>1</v>
      </c>
      <c r="R131" s="174"/>
      <c r="S131" s="181">
        <v>1</v>
      </c>
      <c r="T131" s="182" t="b">
        <f>IF(V131+W131=2,1,FALSE)</f>
        <v>0</v>
      </c>
      <c r="U131" s="183"/>
      <c r="V131" s="174">
        <f>IF(T83&gt;=3,1,0)</f>
        <v>0</v>
      </c>
      <c r="W131" s="174">
        <f>IF(T83&lt;4,1,0)</f>
        <v>1</v>
      </c>
      <c r="X131" s="174"/>
      <c r="Y131" s="174"/>
      <c r="Z131" s="174"/>
      <c r="AA131" s="174"/>
      <c r="AB131" s="174"/>
      <c r="AC131" s="174"/>
      <c r="AD131" s="174"/>
      <c r="AE131" s="174"/>
      <c r="AF131" s="174"/>
      <c r="AG131" s="174"/>
      <c r="AH131" s="174"/>
      <c r="AI131" s="174"/>
      <c r="AJ131" s="174"/>
      <c r="AK131" s="174"/>
      <c r="AL131" s="174"/>
      <c r="AM131" s="174"/>
      <c r="AN131" s="174"/>
      <c r="AO131" s="174"/>
      <c r="AP131" s="174"/>
      <c r="AQ131" s="174"/>
      <c r="AR131" s="174"/>
      <c r="AS131" s="174"/>
      <c r="AT131" s="174"/>
      <c r="AU131" s="174"/>
      <c r="AV131" s="174"/>
      <c r="AW131" s="174"/>
      <c r="AX131" s="174"/>
      <c r="AY131" s="174"/>
      <c r="AZ131" s="174"/>
      <c r="BA131" s="174"/>
      <c r="BB131" s="174"/>
      <c r="BC131" s="174"/>
      <c r="BD131" s="174"/>
      <c r="BE131" s="174"/>
      <c r="BF131" s="174"/>
      <c r="BG131" s="174"/>
      <c r="BH131" s="174"/>
      <c r="BI131" s="174"/>
      <c r="BJ131" s="174"/>
      <c r="BK131" s="174"/>
      <c r="BL131" s="174"/>
      <c r="BM131" s="174"/>
      <c r="BN131" s="174"/>
      <c r="BO131" s="174"/>
      <c r="BP131" s="174"/>
    </row>
    <row r="132" spans="1:68" s="23" customFormat="1" ht="12.75">
      <c r="A132" s="166">
        <v>1.1</v>
      </c>
      <c r="B132" s="167" t="b">
        <f>IF(D132+E132=2,1.1,FALSE)</f>
        <v>0</v>
      </c>
      <c r="C132" s="168"/>
      <c r="D132" s="23">
        <f>IF(B83&gt;=1.9,1,0)</f>
        <v>0</v>
      </c>
      <c r="E132" s="23">
        <f>IF(B83&lt;2.1,1,0)</f>
        <v>1</v>
      </c>
      <c r="G132" s="181">
        <v>1.1</v>
      </c>
      <c r="H132" s="182" t="b">
        <f>IF(J132+K132=2,1.1,FALSE)</f>
        <v>0</v>
      </c>
      <c r="I132" s="183"/>
      <c r="J132" s="174">
        <f>IF(H83&lt;=8.4,1,0)</f>
        <v>1</v>
      </c>
      <c r="K132" s="174">
        <f>IF(H83&gt;7.66,1,0)</f>
        <v>0</v>
      </c>
      <c r="L132" s="174"/>
      <c r="M132" s="181">
        <v>1.1</v>
      </c>
      <c r="N132" s="182" t="b">
        <f>IF(P132+Q132=2,1.1,FALSE)</f>
        <v>0</v>
      </c>
      <c r="O132" s="183"/>
      <c r="P132" s="174">
        <f>IF(N83&gt;=6,1,0)</f>
        <v>0</v>
      </c>
      <c r="Q132" s="174">
        <f>IF(N83&lt;7,1,0)</f>
        <v>1</v>
      </c>
      <c r="R132" s="174"/>
      <c r="S132" s="181">
        <v>1.1</v>
      </c>
      <c r="T132" s="182" t="b">
        <f>IF(V132+W132=2,1.1,FALSE)</f>
        <v>0</v>
      </c>
      <c r="U132" s="183"/>
      <c r="V132" s="174">
        <f>IF(T83&gt;=4,1,0)</f>
        <v>0</v>
      </c>
      <c r="W132" s="174">
        <f>IF(T83&lt;5,1,0)</f>
        <v>1</v>
      </c>
      <c r="X132" s="174"/>
      <c r="Y132" s="174"/>
      <c r="Z132" s="174"/>
      <c r="AA132" s="174"/>
      <c r="AB132" s="174"/>
      <c r="AC132" s="174"/>
      <c r="AD132" s="174"/>
      <c r="AE132" s="174"/>
      <c r="AF132" s="174"/>
      <c r="AG132" s="174"/>
      <c r="AH132" s="174"/>
      <c r="AI132" s="174"/>
      <c r="AJ132" s="174"/>
      <c r="AK132" s="174"/>
      <c r="AL132" s="174"/>
      <c r="AM132" s="174"/>
      <c r="AN132" s="174"/>
      <c r="AO132" s="174"/>
      <c r="AP132" s="174"/>
      <c r="AQ132" s="174"/>
      <c r="AR132" s="174"/>
      <c r="AS132" s="174"/>
      <c r="AT132" s="174"/>
      <c r="AU132" s="174"/>
      <c r="AV132" s="174"/>
      <c r="AW132" s="174"/>
      <c r="AX132" s="174"/>
      <c r="AY132" s="174"/>
      <c r="AZ132" s="174"/>
      <c r="BA132" s="174"/>
      <c r="BB132" s="174"/>
      <c r="BC132" s="174"/>
      <c r="BD132" s="174"/>
      <c r="BE132" s="174"/>
      <c r="BF132" s="174"/>
      <c r="BG132" s="174"/>
      <c r="BH132" s="174"/>
      <c r="BI132" s="174"/>
      <c r="BJ132" s="174"/>
      <c r="BK132" s="174"/>
      <c r="BL132" s="174"/>
      <c r="BM132" s="174"/>
      <c r="BN132" s="174"/>
      <c r="BO132" s="174"/>
      <c r="BP132" s="174"/>
    </row>
    <row r="133" spans="1:68" s="23" customFormat="1" ht="12.75">
      <c r="A133" s="166">
        <v>1.2</v>
      </c>
      <c r="B133" s="167" t="b">
        <f>IF(D133+E133=2,1.2,FALSE)</f>
        <v>0</v>
      </c>
      <c r="C133" s="168"/>
      <c r="D133" s="23">
        <f>IF(B83&gt;=2.1,1,0)</f>
        <v>0</v>
      </c>
      <c r="E133" s="23">
        <f>IF(B83&lt;2.4,1,0)</f>
        <v>1</v>
      </c>
      <c r="G133" s="181">
        <v>1.2</v>
      </c>
      <c r="H133" s="182" t="b">
        <f>IF(J133+K133=2,1.2,FALSE)</f>
        <v>0</v>
      </c>
      <c r="I133" s="183"/>
      <c r="J133" s="174">
        <f>IF(H83&lt;=7.66,1,0)</f>
        <v>1</v>
      </c>
      <c r="K133" s="174">
        <f>IF(H83&gt;6.99,1,0)</f>
        <v>0</v>
      </c>
      <c r="L133" s="174"/>
      <c r="M133" s="181">
        <v>1.2</v>
      </c>
      <c r="N133" s="182" t="b">
        <f>IF(P133+Q133=2,1.2,FALSE)</f>
        <v>0</v>
      </c>
      <c r="O133" s="183"/>
      <c r="P133" s="174">
        <f>IF(N83&gt;=7,1,0)</f>
        <v>0</v>
      </c>
      <c r="Q133" s="174">
        <f>IF(N83&lt;8,1,0)</f>
        <v>1</v>
      </c>
      <c r="R133" s="174"/>
      <c r="S133" s="181">
        <v>1.2</v>
      </c>
      <c r="T133" s="182" t="b">
        <f>IF(V133+W133=2,1.2,FALSE)</f>
        <v>0</v>
      </c>
      <c r="U133" s="183"/>
      <c r="V133" s="174">
        <f>IF(T83&gt;=5,1,0)</f>
        <v>0</v>
      </c>
      <c r="W133" s="174">
        <f>IF(T83&lt;6,1,0)</f>
        <v>1</v>
      </c>
      <c r="X133" s="174"/>
      <c r="Y133" s="174"/>
      <c r="Z133" s="174"/>
      <c r="AA133" s="174"/>
      <c r="AB133" s="174"/>
      <c r="AC133" s="174"/>
      <c r="AD133" s="174"/>
      <c r="AE133" s="174"/>
      <c r="AF133" s="174"/>
      <c r="AG133" s="174"/>
      <c r="AH133" s="174"/>
      <c r="AI133" s="174"/>
      <c r="AJ133" s="174"/>
      <c r="AK133" s="174"/>
      <c r="AL133" s="174"/>
      <c r="AM133" s="174"/>
      <c r="AN133" s="174"/>
      <c r="AO133" s="174"/>
      <c r="AP133" s="174"/>
      <c r="AQ133" s="174"/>
      <c r="AR133" s="174"/>
      <c r="AS133" s="174"/>
      <c r="AT133" s="174"/>
      <c r="AU133" s="174"/>
      <c r="AV133" s="174"/>
      <c r="AW133" s="174"/>
      <c r="AX133" s="174"/>
      <c r="AY133" s="174"/>
      <c r="AZ133" s="174"/>
      <c r="BA133" s="174"/>
      <c r="BB133" s="174"/>
      <c r="BC133" s="174"/>
      <c r="BD133" s="174"/>
      <c r="BE133" s="174"/>
      <c r="BF133" s="174"/>
      <c r="BG133" s="174"/>
      <c r="BH133" s="174"/>
      <c r="BI133" s="174"/>
      <c r="BJ133" s="174"/>
      <c r="BK133" s="174"/>
      <c r="BL133" s="174"/>
      <c r="BM133" s="174"/>
      <c r="BN133" s="174"/>
      <c r="BO133" s="174"/>
      <c r="BP133" s="174"/>
    </row>
    <row r="134" spans="1:68" s="23" customFormat="1" ht="12.75">
      <c r="A134" s="166">
        <v>1.3</v>
      </c>
      <c r="B134" s="167" t="b">
        <f>IF(D134+E134=2,1.3,FALSE)</f>
        <v>0</v>
      </c>
      <c r="C134" s="168"/>
      <c r="D134" s="23">
        <f>IF(B83&gt;=2.4,1,0)</f>
        <v>0</v>
      </c>
      <c r="E134" s="23">
        <f>IF(B83&lt;2.7,1,0)</f>
        <v>1</v>
      </c>
      <c r="G134" s="181">
        <v>1.3</v>
      </c>
      <c r="H134" s="182" t="b">
        <f>IF(J134+K134=2,1.3,FALSE)</f>
        <v>0</v>
      </c>
      <c r="I134" s="183"/>
      <c r="J134" s="174">
        <f>IF(H83&lt;=6.99,1,0)</f>
        <v>1</v>
      </c>
      <c r="K134" s="174">
        <f>IF(H83&gt;6.45,1,0)</f>
        <v>0</v>
      </c>
      <c r="L134" s="174"/>
      <c r="M134" s="181">
        <v>1.3</v>
      </c>
      <c r="N134" s="182" t="b">
        <f>IF(P134+Q134=2,1.3,FALSE)</f>
        <v>0</v>
      </c>
      <c r="O134" s="183"/>
      <c r="P134" s="174">
        <f>IF(N83&gt;=8,1,0)</f>
        <v>0</v>
      </c>
      <c r="Q134" s="174">
        <f>IF(N83&lt;10,1,0)</f>
        <v>1</v>
      </c>
      <c r="R134" s="174"/>
      <c r="S134" s="181">
        <v>1.3</v>
      </c>
      <c r="T134" s="182" t="b">
        <f>IF(V134+W134=2,1.3,FALSE)</f>
        <v>0</v>
      </c>
      <c r="U134" s="183"/>
      <c r="V134" s="174">
        <f>IF(T83&gt;=6,1,0)</f>
        <v>0</v>
      </c>
      <c r="W134" s="174">
        <f>IF(T83&lt;7,1,0)</f>
        <v>1</v>
      </c>
      <c r="X134" s="174"/>
      <c r="Y134" s="174"/>
      <c r="Z134" s="174"/>
      <c r="AA134" s="174"/>
      <c r="AB134" s="174"/>
      <c r="AC134" s="174"/>
      <c r="AD134" s="174"/>
      <c r="AE134" s="174"/>
      <c r="AF134" s="174"/>
      <c r="AG134" s="174"/>
      <c r="AH134" s="174"/>
      <c r="AI134" s="174"/>
      <c r="AJ134" s="174"/>
      <c r="AK134" s="174"/>
      <c r="AL134" s="174"/>
      <c r="AM134" s="174"/>
      <c r="AN134" s="174"/>
      <c r="AO134" s="174"/>
      <c r="AP134" s="174"/>
      <c r="AQ134" s="174"/>
      <c r="AR134" s="174"/>
      <c r="AS134" s="174"/>
      <c r="AT134" s="174"/>
      <c r="AU134" s="174"/>
      <c r="AV134" s="174"/>
      <c r="AW134" s="174"/>
      <c r="AX134" s="174"/>
      <c r="AY134" s="174"/>
      <c r="AZ134" s="174"/>
      <c r="BA134" s="174"/>
      <c r="BB134" s="174"/>
      <c r="BC134" s="174"/>
      <c r="BD134" s="174"/>
      <c r="BE134" s="174"/>
      <c r="BF134" s="174"/>
      <c r="BG134" s="174"/>
      <c r="BH134" s="174"/>
      <c r="BI134" s="174"/>
      <c r="BJ134" s="174"/>
      <c r="BK134" s="174"/>
      <c r="BL134" s="174"/>
      <c r="BM134" s="174"/>
      <c r="BN134" s="174"/>
      <c r="BO134" s="174"/>
      <c r="BP134" s="174"/>
    </row>
    <row r="135" spans="1:68" s="23" customFormat="1" ht="12.75">
      <c r="A135" s="166">
        <v>1.4</v>
      </c>
      <c r="B135" s="167" t="b">
        <f>IF(D135+E135=2,1.4,FALSE)</f>
        <v>0</v>
      </c>
      <c r="C135" s="168"/>
      <c r="D135" s="23">
        <f>IF(B83&gt;=2.7,1,0)</f>
        <v>0</v>
      </c>
      <c r="E135" s="23">
        <f>IF(B83&lt;3,1,0)</f>
        <v>1</v>
      </c>
      <c r="G135" s="181">
        <v>1.4</v>
      </c>
      <c r="H135" s="182" t="b">
        <f>IF(J135+K135=2,1.4,FALSE)</f>
        <v>0</v>
      </c>
      <c r="I135" s="183"/>
      <c r="J135" s="174">
        <f>IF(H83&lt;=6.45,1,0)</f>
        <v>1</v>
      </c>
      <c r="K135" s="174">
        <f>IF(H83&gt;5.88,1,0)</f>
        <v>0</v>
      </c>
      <c r="L135" s="174"/>
      <c r="M135" s="181">
        <v>1.4</v>
      </c>
      <c r="N135" s="182" t="b">
        <f>IF(P135+Q135=2,1.4,FALSE)</f>
        <v>0</v>
      </c>
      <c r="O135" s="183"/>
      <c r="P135" s="174">
        <f>IF(N83&gt;=10,1,0)</f>
        <v>0</v>
      </c>
      <c r="Q135" s="174">
        <f>IF(N83&lt;11,1,0)</f>
        <v>1</v>
      </c>
      <c r="R135" s="174"/>
      <c r="S135" s="181">
        <v>1.4</v>
      </c>
      <c r="T135" s="182" t="b">
        <f>IF(V135+W135=2,1.4,FALSE)</f>
        <v>0</v>
      </c>
      <c r="U135" s="183"/>
      <c r="V135" s="174">
        <f>IF(T83&gt;=7,1,0)</f>
        <v>0</v>
      </c>
      <c r="W135" s="174">
        <f>IF(T83&lt;8,1,0)</f>
        <v>1</v>
      </c>
      <c r="X135" s="174"/>
      <c r="Y135" s="174"/>
      <c r="Z135" s="174"/>
      <c r="AA135" s="174"/>
      <c r="AB135" s="174"/>
      <c r="AC135" s="174"/>
      <c r="AD135" s="174"/>
      <c r="AE135" s="174"/>
      <c r="AF135" s="174"/>
      <c r="AG135" s="174"/>
      <c r="AH135" s="174"/>
      <c r="AI135" s="174"/>
      <c r="AJ135" s="174"/>
      <c r="AK135" s="174"/>
      <c r="AL135" s="174"/>
      <c r="AM135" s="174"/>
      <c r="AN135" s="174"/>
      <c r="AO135" s="174"/>
      <c r="AP135" s="174"/>
      <c r="AQ135" s="174"/>
      <c r="AR135" s="174"/>
      <c r="AS135" s="174"/>
      <c r="AT135" s="174"/>
      <c r="AU135" s="174"/>
      <c r="AV135" s="174"/>
      <c r="AW135" s="174"/>
      <c r="AX135" s="174"/>
      <c r="AY135" s="174"/>
      <c r="AZ135" s="174"/>
      <c r="BA135" s="174"/>
      <c r="BB135" s="174"/>
      <c r="BC135" s="174"/>
      <c r="BD135" s="174"/>
      <c r="BE135" s="174"/>
      <c r="BF135" s="174"/>
      <c r="BG135" s="174"/>
      <c r="BH135" s="174"/>
      <c r="BI135" s="174"/>
      <c r="BJ135" s="174"/>
      <c r="BK135" s="174"/>
      <c r="BL135" s="174"/>
      <c r="BM135" s="174"/>
      <c r="BN135" s="174"/>
      <c r="BO135" s="174"/>
      <c r="BP135" s="174"/>
    </row>
    <row r="136" spans="1:68" s="23" customFormat="1" ht="13.5" thickBot="1">
      <c r="A136" s="169">
        <v>1.5</v>
      </c>
      <c r="B136" s="170" t="b">
        <f>IF(D136+E136=2,1.5,FALSE)</f>
        <v>0</v>
      </c>
      <c r="C136" s="171"/>
      <c r="D136" s="23">
        <f>IF(B83&gt;=3,1,0)</f>
        <v>0</v>
      </c>
      <c r="E136" s="23">
        <f>IF(B83&lt;3.4,1,0)</f>
        <v>1</v>
      </c>
      <c r="G136" s="184">
        <v>1.5</v>
      </c>
      <c r="H136" s="185" t="b">
        <f>IF(J136+K136=2,1.5,FALSE)</f>
        <v>0</v>
      </c>
      <c r="I136" s="186"/>
      <c r="J136" s="174">
        <f>IF(H83&lt;=5.88,1,0)</f>
        <v>1</v>
      </c>
      <c r="K136" s="174">
        <f>IF(H83&gt;5.36,1,0)</f>
        <v>0</v>
      </c>
      <c r="L136" s="174"/>
      <c r="M136" s="184">
        <v>1.5</v>
      </c>
      <c r="N136" s="185" t="b">
        <f>IF(P136+Q136=2,1.5,FALSE)</f>
        <v>0</v>
      </c>
      <c r="O136" s="186"/>
      <c r="P136" s="174">
        <f>IF(N83&gt;=11,1,0)</f>
        <v>0</v>
      </c>
      <c r="Q136" s="174">
        <f>IF(N83&lt;14,1,0)</f>
        <v>1</v>
      </c>
      <c r="R136" s="174"/>
      <c r="S136" s="184">
        <v>1.5</v>
      </c>
      <c r="T136" s="185" t="b">
        <f>IF(V136+W136=2,1.5,FALSE)</f>
        <v>0</v>
      </c>
      <c r="U136" s="186"/>
      <c r="V136" s="174">
        <f>IF(T83&gt;=8,1,0)</f>
        <v>0</v>
      </c>
      <c r="W136" s="174">
        <f>IF(T83&lt;10,1,0)</f>
        <v>1</v>
      </c>
      <c r="X136" s="174"/>
      <c r="Y136" s="174"/>
      <c r="Z136" s="174"/>
      <c r="AA136" s="174"/>
      <c r="AB136" s="174"/>
      <c r="AC136" s="174"/>
      <c r="AD136" s="174"/>
      <c r="AE136" s="174"/>
      <c r="AF136" s="174"/>
      <c r="AG136" s="174"/>
      <c r="AH136" s="174"/>
      <c r="AI136" s="174"/>
      <c r="AJ136" s="174"/>
      <c r="AK136" s="174"/>
      <c r="AL136" s="174"/>
      <c r="AM136" s="174"/>
      <c r="AN136" s="174"/>
      <c r="AO136" s="174"/>
      <c r="AP136" s="174"/>
      <c r="AQ136" s="174"/>
      <c r="AR136" s="174"/>
      <c r="AS136" s="174"/>
      <c r="AT136" s="174"/>
      <c r="AU136" s="174"/>
      <c r="AV136" s="174"/>
      <c r="AW136" s="174"/>
      <c r="AX136" s="174"/>
      <c r="AY136" s="174"/>
      <c r="AZ136" s="174"/>
      <c r="BA136" s="174"/>
      <c r="BB136" s="174"/>
      <c r="BC136" s="174"/>
      <c r="BD136" s="174"/>
      <c r="BE136" s="174"/>
      <c r="BF136" s="174"/>
      <c r="BG136" s="174"/>
      <c r="BH136" s="174"/>
      <c r="BI136" s="174"/>
      <c r="BJ136" s="174"/>
      <c r="BK136" s="174"/>
      <c r="BL136" s="174"/>
      <c r="BM136" s="174"/>
      <c r="BN136" s="174"/>
      <c r="BO136" s="174"/>
      <c r="BP136" s="174"/>
    </row>
    <row r="137" spans="1:68" s="23" customFormat="1" ht="12.75">
      <c r="A137" s="163">
        <v>1.6</v>
      </c>
      <c r="B137" s="164" t="b">
        <f>IF(D137+E137=2,1.6,FALSE)</f>
        <v>0</v>
      </c>
      <c r="C137" s="165"/>
      <c r="D137" s="23">
        <f>IF(B83&gt;=3.4,1,0)</f>
        <v>0</v>
      </c>
      <c r="E137" s="23">
        <f>IF(B83&lt;3.8,1,0)</f>
        <v>1</v>
      </c>
      <c r="G137" s="178">
        <v>1.6</v>
      </c>
      <c r="H137" s="179" t="b">
        <f>IF(J137+K137=2,1.6,FALSE)</f>
        <v>0</v>
      </c>
      <c r="I137" s="180"/>
      <c r="J137" s="174">
        <f>IF(H83&lt;=5.36,1,0)</f>
        <v>1</v>
      </c>
      <c r="K137" s="174">
        <f>IF(H83&gt;4.93,1,0)</f>
        <v>0</v>
      </c>
      <c r="L137" s="174"/>
      <c r="M137" s="178">
        <v>1.6</v>
      </c>
      <c r="N137" s="179" t="b">
        <f>IF(P137+Q137=2,1.6,FALSE)</f>
        <v>0</v>
      </c>
      <c r="O137" s="180"/>
      <c r="P137" s="174">
        <f>IF(N83&gt;=14,1,0)</f>
        <v>0</v>
      </c>
      <c r="Q137" s="174">
        <f>IF(N83&lt;16,1,0)</f>
        <v>1</v>
      </c>
      <c r="R137" s="174"/>
      <c r="S137" s="178">
        <v>1.6</v>
      </c>
      <c r="T137" s="179" t="b">
        <f>IF(V137+W137=2,1.6,FALSE)</f>
        <v>0</v>
      </c>
      <c r="U137" s="180"/>
      <c r="V137" s="174">
        <f>IF(T83&gt;=10,1,0)</f>
        <v>0</v>
      </c>
      <c r="W137" s="174">
        <f>IF(T83&lt;11,1,0)</f>
        <v>1</v>
      </c>
      <c r="X137" s="174"/>
      <c r="Y137" s="174"/>
      <c r="Z137" s="174"/>
      <c r="AA137" s="174"/>
      <c r="AB137" s="174"/>
      <c r="AC137" s="174"/>
      <c r="AD137" s="174"/>
      <c r="AE137" s="174"/>
      <c r="AF137" s="174"/>
      <c r="AG137" s="174"/>
      <c r="AH137" s="174"/>
      <c r="AI137" s="174"/>
      <c r="AJ137" s="174"/>
      <c r="AK137" s="174"/>
      <c r="AL137" s="174"/>
      <c r="AM137" s="174"/>
      <c r="AN137" s="174"/>
      <c r="AO137" s="174"/>
      <c r="AP137" s="174"/>
      <c r="AQ137" s="174"/>
      <c r="AR137" s="174"/>
      <c r="AS137" s="174"/>
      <c r="AT137" s="174"/>
      <c r="AU137" s="174"/>
      <c r="AV137" s="174"/>
      <c r="AW137" s="174"/>
      <c r="AX137" s="174"/>
      <c r="AY137" s="174"/>
      <c r="AZ137" s="174"/>
      <c r="BA137" s="174"/>
      <c r="BB137" s="174"/>
      <c r="BC137" s="174"/>
      <c r="BD137" s="174"/>
      <c r="BE137" s="174"/>
      <c r="BF137" s="174"/>
      <c r="BG137" s="174"/>
      <c r="BH137" s="174"/>
      <c r="BI137" s="174"/>
      <c r="BJ137" s="174"/>
      <c r="BK137" s="174"/>
      <c r="BL137" s="174"/>
      <c r="BM137" s="174"/>
      <c r="BN137" s="174"/>
      <c r="BO137" s="174"/>
      <c r="BP137" s="174"/>
    </row>
    <row r="138" spans="1:68" s="23" customFormat="1" ht="12.75">
      <c r="A138" s="166">
        <v>1.7</v>
      </c>
      <c r="B138" s="167" t="b">
        <f>IF(D138+E138=2,1.7,FALSE)</f>
        <v>0</v>
      </c>
      <c r="C138" s="168"/>
      <c r="D138" s="23">
        <f>IF(B83&gt;=3.8,1,0)</f>
        <v>0</v>
      </c>
      <c r="E138" s="23">
        <f>IF(B83&lt;4.3,1,0)</f>
        <v>1</v>
      </c>
      <c r="G138" s="181">
        <v>1.7</v>
      </c>
      <c r="H138" s="182" t="b">
        <f>IF(J138+K138=2,1.7,FALSE)</f>
        <v>0</v>
      </c>
      <c r="I138" s="183"/>
      <c r="J138" s="174">
        <f>IF(H83&lt;=4.39,1,0)</f>
        <v>1</v>
      </c>
      <c r="K138" s="174">
        <f>IF(H83&gt;4.5,1,0)</f>
        <v>0</v>
      </c>
      <c r="L138" s="174"/>
      <c r="M138" s="181">
        <v>1.7</v>
      </c>
      <c r="N138" s="182" t="b">
        <f>IF(P138+Q138=2,1.7,FALSE)</f>
        <v>0</v>
      </c>
      <c r="O138" s="183"/>
      <c r="P138" s="174">
        <f>IF(N83&gt;=16,1,0)</f>
        <v>0</v>
      </c>
      <c r="Q138" s="174">
        <f>IF(N83&lt;19,1,0)</f>
        <v>1</v>
      </c>
      <c r="R138" s="174"/>
      <c r="S138" s="181">
        <v>1.7</v>
      </c>
      <c r="T138" s="182" t="b">
        <f>IF(V138+W138=2,1.7,FALSE)</f>
        <v>0</v>
      </c>
      <c r="U138" s="183"/>
      <c r="V138" s="174">
        <f>IF(T83&gt;=11,1,0)</f>
        <v>0</v>
      </c>
      <c r="W138" s="174">
        <f>IF(T83&lt;13,1,0)</f>
        <v>1</v>
      </c>
      <c r="X138" s="174"/>
      <c r="Y138" s="174"/>
      <c r="Z138" s="174"/>
      <c r="AA138" s="174"/>
      <c r="AB138" s="174"/>
      <c r="AC138" s="174"/>
      <c r="AD138" s="174"/>
      <c r="AE138" s="174"/>
      <c r="AF138" s="174"/>
      <c r="AG138" s="174"/>
      <c r="AH138" s="174"/>
      <c r="AI138" s="174"/>
      <c r="AJ138" s="174"/>
      <c r="AK138" s="174"/>
      <c r="AL138" s="174"/>
      <c r="AM138" s="174"/>
      <c r="AN138" s="174"/>
      <c r="AO138" s="174"/>
      <c r="AP138" s="174"/>
      <c r="AQ138" s="174"/>
      <c r="AR138" s="174"/>
      <c r="AS138" s="174"/>
      <c r="AT138" s="174"/>
      <c r="AU138" s="174"/>
      <c r="AV138" s="174"/>
      <c r="AW138" s="174"/>
      <c r="AX138" s="174"/>
      <c r="AY138" s="174"/>
      <c r="AZ138" s="174"/>
      <c r="BA138" s="174"/>
      <c r="BB138" s="174"/>
      <c r="BC138" s="174"/>
      <c r="BD138" s="174"/>
      <c r="BE138" s="174"/>
      <c r="BF138" s="174"/>
      <c r="BG138" s="174"/>
      <c r="BH138" s="174"/>
      <c r="BI138" s="174"/>
      <c r="BJ138" s="174"/>
      <c r="BK138" s="174"/>
      <c r="BL138" s="174"/>
      <c r="BM138" s="174"/>
      <c r="BN138" s="174"/>
      <c r="BO138" s="174"/>
      <c r="BP138" s="174"/>
    </row>
    <row r="139" spans="1:68" s="23" customFormat="1" ht="12.75">
      <c r="A139" s="166">
        <v>1.8</v>
      </c>
      <c r="B139" s="167" t="b">
        <f>IF(D139+E139=2,1.8,FALSE)</f>
        <v>0</v>
      </c>
      <c r="C139" s="168"/>
      <c r="D139" s="23">
        <f>IF(B83&gt;=4.3,1,0)</f>
        <v>0</v>
      </c>
      <c r="E139" s="23">
        <f>IF(B83&lt;4.8,1,0)</f>
        <v>1</v>
      </c>
      <c r="G139" s="181">
        <v>1.8</v>
      </c>
      <c r="H139" s="182" t="b">
        <f>IF(J139+K139=2,1.8,FALSE)</f>
        <v>0</v>
      </c>
      <c r="I139" s="183"/>
      <c r="J139" s="174">
        <f>IF(H83&lt;=4.5,1,0)</f>
        <v>1</v>
      </c>
      <c r="K139" s="174">
        <f>IF(H83&gt;4.1,1,0)</f>
        <v>0</v>
      </c>
      <c r="L139" s="174"/>
      <c r="M139" s="181">
        <v>1.8</v>
      </c>
      <c r="N139" s="182" t="b">
        <f>IF(P139+Q139=2,1.8,FALSE)</f>
        <v>0</v>
      </c>
      <c r="O139" s="183"/>
      <c r="P139" s="174">
        <f>IF(N83&gt;=19,1,0)</f>
        <v>0</v>
      </c>
      <c r="Q139" s="174">
        <f>IF(N83&lt;22,1,0)</f>
        <v>1</v>
      </c>
      <c r="R139" s="174"/>
      <c r="S139" s="181">
        <v>1.8</v>
      </c>
      <c r="T139" s="182" t="b">
        <f>IF(V139+W139=2,1.8,FALSE)</f>
        <v>0</v>
      </c>
      <c r="U139" s="183"/>
      <c r="V139" s="174">
        <f>IF(T83&gt;=13,1,0)</f>
        <v>0</v>
      </c>
      <c r="W139" s="174">
        <f>IF(T83&lt;16,1,0)</f>
        <v>1</v>
      </c>
      <c r="X139" s="174"/>
      <c r="Y139" s="174"/>
      <c r="Z139" s="174"/>
      <c r="AA139" s="174"/>
      <c r="AB139" s="174"/>
      <c r="AC139" s="174"/>
      <c r="AD139" s="174"/>
      <c r="AE139" s="174"/>
      <c r="AF139" s="174"/>
      <c r="AG139" s="174"/>
      <c r="AH139" s="174"/>
      <c r="AI139" s="174"/>
      <c r="AJ139" s="174"/>
      <c r="AK139" s="174"/>
      <c r="AL139" s="174"/>
      <c r="AM139" s="174"/>
      <c r="AN139" s="174"/>
      <c r="AO139" s="174"/>
      <c r="AP139" s="174"/>
      <c r="AQ139" s="174"/>
      <c r="AR139" s="174"/>
      <c r="AS139" s="174"/>
      <c r="AT139" s="174"/>
      <c r="AU139" s="174"/>
      <c r="AV139" s="174"/>
      <c r="AW139" s="174"/>
      <c r="AX139" s="174"/>
      <c r="AY139" s="174"/>
      <c r="AZ139" s="174"/>
      <c r="BA139" s="174"/>
      <c r="BB139" s="174"/>
      <c r="BC139" s="174"/>
      <c r="BD139" s="174"/>
      <c r="BE139" s="174"/>
      <c r="BF139" s="174"/>
      <c r="BG139" s="174"/>
      <c r="BH139" s="174"/>
      <c r="BI139" s="174"/>
      <c r="BJ139" s="174"/>
      <c r="BK139" s="174"/>
      <c r="BL139" s="174"/>
      <c r="BM139" s="174"/>
      <c r="BN139" s="174"/>
      <c r="BO139" s="174"/>
      <c r="BP139" s="174"/>
    </row>
    <row r="140" spans="1:68" s="23" customFormat="1" ht="12.75">
      <c r="A140" s="166">
        <v>1.9</v>
      </c>
      <c r="B140" s="167" t="b">
        <f>IF(D140+E140=2,1.9,FALSE)</f>
        <v>0</v>
      </c>
      <c r="C140" s="168"/>
      <c r="D140" s="23">
        <f>IF(B83&gt;=4.8,1,0)</f>
        <v>0</v>
      </c>
      <c r="E140" s="23">
        <f>IF(B83&lt;5.4,1,0)</f>
        <v>1</v>
      </c>
      <c r="G140" s="181">
        <v>1.9</v>
      </c>
      <c r="H140" s="182" t="b">
        <f>IF(J140+K140=2,1.9,FALSE)</f>
        <v>0</v>
      </c>
      <c r="I140" s="183"/>
      <c r="J140" s="174">
        <f>IF(H83&lt;=4.1,1,0)</f>
        <v>1</v>
      </c>
      <c r="K140" s="174">
        <f>IF(H83&gt;3.74,1,0)</f>
        <v>0</v>
      </c>
      <c r="L140" s="174"/>
      <c r="M140" s="181">
        <v>1.9</v>
      </c>
      <c r="N140" s="182" t="b">
        <f>IF(P140+Q140=2,1.9,FALSE)</f>
        <v>0</v>
      </c>
      <c r="O140" s="183"/>
      <c r="P140" s="174">
        <f>IF(N83&gt;=22,1,0)</f>
        <v>0</v>
      </c>
      <c r="Q140" s="174">
        <f>IF(N83&lt;26,1,0)</f>
        <v>1</v>
      </c>
      <c r="R140" s="174"/>
      <c r="S140" s="181">
        <v>1.9</v>
      </c>
      <c r="T140" s="182" t="b">
        <f>IF(V140+W140=2,1.9,FALSE)</f>
        <v>0</v>
      </c>
      <c r="U140" s="183"/>
      <c r="V140" s="174">
        <f>IF(T83&gt;=16,1,0)</f>
        <v>0</v>
      </c>
      <c r="W140" s="174">
        <f>IF(T83&lt;19,1,0)</f>
        <v>1</v>
      </c>
      <c r="X140" s="174"/>
      <c r="Y140" s="174"/>
      <c r="Z140" s="174"/>
      <c r="AA140" s="174"/>
      <c r="AB140" s="174"/>
      <c r="AC140" s="174"/>
      <c r="AD140" s="174"/>
      <c r="AE140" s="174"/>
      <c r="AF140" s="174"/>
      <c r="AG140" s="174"/>
      <c r="AH140" s="174"/>
      <c r="AI140" s="174"/>
      <c r="AJ140" s="174"/>
      <c r="AK140" s="174"/>
      <c r="AL140" s="174"/>
      <c r="AM140" s="174"/>
      <c r="AN140" s="174"/>
      <c r="AO140" s="174"/>
      <c r="AP140" s="174"/>
      <c r="AQ140" s="174"/>
      <c r="AR140" s="174"/>
      <c r="AS140" s="174"/>
      <c r="AT140" s="174"/>
      <c r="AU140" s="174"/>
      <c r="AV140" s="174"/>
      <c r="AW140" s="174"/>
      <c r="AX140" s="174"/>
      <c r="AY140" s="174"/>
      <c r="AZ140" s="174"/>
      <c r="BA140" s="174"/>
      <c r="BB140" s="174"/>
      <c r="BC140" s="174"/>
      <c r="BD140" s="174"/>
      <c r="BE140" s="174"/>
      <c r="BF140" s="174"/>
      <c r="BG140" s="174"/>
      <c r="BH140" s="174"/>
      <c r="BI140" s="174"/>
      <c r="BJ140" s="174"/>
      <c r="BK140" s="174"/>
      <c r="BL140" s="174"/>
      <c r="BM140" s="174"/>
      <c r="BN140" s="174"/>
      <c r="BO140" s="174"/>
      <c r="BP140" s="174"/>
    </row>
    <row r="141" spans="1:68" s="23" customFormat="1" ht="12.75">
      <c r="A141" s="166">
        <v>2</v>
      </c>
      <c r="B141" s="167" t="b">
        <f>IF(D141+E141=2,2,FALSE)</f>
        <v>0</v>
      </c>
      <c r="C141" s="168"/>
      <c r="D141" s="23">
        <f>IF(B83&gt;=5.4,1,0)</f>
        <v>0</v>
      </c>
      <c r="E141" s="23">
        <f>IF(B83&lt;6.1,1,0)</f>
        <v>1</v>
      </c>
      <c r="G141" s="181">
        <v>2</v>
      </c>
      <c r="H141" s="182" t="b">
        <f>IF(J141+K141=2,2,FALSE)</f>
        <v>0</v>
      </c>
      <c r="I141" s="183"/>
      <c r="J141" s="174">
        <f>IF(H83&lt;=3.74,1,0)</f>
        <v>1</v>
      </c>
      <c r="K141" s="174">
        <f>IF(H83&gt;3.44,1,0)</f>
        <v>0</v>
      </c>
      <c r="L141" s="174"/>
      <c r="M141" s="181">
        <v>2</v>
      </c>
      <c r="N141" s="182" t="b">
        <f>IF(P141+Q141=2,2,FALSE)</f>
        <v>0</v>
      </c>
      <c r="O141" s="183"/>
      <c r="P141" s="174">
        <f>IF(N83&gt;=26,1,0)</f>
        <v>0</v>
      </c>
      <c r="Q141" s="174">
        <f>IF(N83&lt;30,1,0)</f>
        <v>1</v>
      </c>
      <c r="R141" s="174"/>
      <c r="S141" s="181">
        <v>2</v>
      </c>
      <c r="T141" s="182" t="b">
        <f>IF(V141+W141=2,2,FALSE)</f>
        <v>0</v>
      </c>
      <c r="U141" s="183"/>
      <c r="V141" s="174">
        <f>IF(T83&gt;=19,1,0)</f>
        <v>0</v>
      </c>
      <c r="W141" s="174">
        <f>IF(T83&lt;22,1,0)</f>
        <v>1</v>
      </c>
      <c r="X141" s="174"/>
      <c r="Y141" s="174"/>
      <c r="Z141" s="174"/>
      <c r="AA141" s="174"/>
      <c r="AB141" s="174"/>
      <c r="AC141" s="174"/>
      <c r="AD141" s="174"/>
      <c r="AE141" s="174"/>
      <c r="AF141" s="174"/>
      <c r="AG141" s="174"/>
      <c r="AH141" s="174"/>
      <c r="AI141" s="174"/>
      <c r="AJ141" s="174"/>
      <c r="AK141" s="174"/>
      <c r="AL141" s="174"/>
      <c r="AM141" s="174"/>
      <c r="AN141" s="174"/>
      <c r="AO141" s="174"/>
      <c r="AP141" s="174"/>
      <c r="AQ141" s="174"/>
      <c r="AR141" s="174"/>
      <c r="AS141" s="174"/>
      <c r="AT141" s="174"/>
      <c r="AU141" s="174"/>
      <c r="AV141" s="174"/>
      <c r="AW141" s="174"/>
      <c r="AX141" s="174"/>
      <c r="AY141" s="174"/>
      <c r="AZ141" s="174"/>
      <c r="BA141" s="174"/>
      <c r="BB141" s="174"/>
      <c r="BC141" s="174"/>
      <c r="BD141" s="174"/>
      <c r="BE141" s="174"/>
      <c r="BF141" s="174"/>
      <c r="BG141" s="174"/>
      <c r="BH141" s="174"/>
      <c r="BI141" s="174"/>
      <c r="BJ141" s="174"/>
      <c r="BK141" s="174"/>
      <c r="BL141" s="174"/>
      <c r="BM141" s="174"/>
      <c r="BN141" s="174"/>
      <c r="BO141" s="174"/>
      <c r="BP141" s="174"/>
    </row>
    <row r="142" spans="1:68" s="23" customFormat="1" ht="12.75">
      <c r="A142" s="166">
        <v>2.1</v>
      </c>
      <c r="B142" s="167" t="b">
        <f>IF(D142+E142=2,2.1,FALSE)</f>
        <v>0</v>
      </c>
      <c r="C142" s="168"/>
      <c r="D142" s="23">
        <f>IF(B83&gt;=6.1,1,0)</f>
        <v>0</v>
      </c>
      <c r="E142" s="23">
        <f>IF(B83&lt;6.8,1,0)</f>
        <v>1</v>
      </c>
      <c r="G142" s="181">
        <v>2.1</v>
      </c>
      <c r="H142" s="182" t="b">
        <f>IF(J142+K142=2,2.1,FALSE)</f>
        <v>0</v>
      </c>
      <c r="I142" s="183"/>
      <c r="J142" s="174">
        <f>IF(H83&lt;=3.44,1,0)</f>
        <v>1</v>
      </c>
      <c r="K142" s="174">
        <f>IF(H83&gt;3.14,1,0)</f>
        <v>0</v>
      </c>
      <c r="L142" s="174"/>
      <c r="M142" s="181">
        <v>2.1</v>
      </c>
      <c r="N142" s="182" t="b">
        <f>IF(P142+Q142=2,2.1,FALSE)</f>
        <v>0</v>
      </c>
      <c r="O142" s="183"/>
      <c r="P142" s="174">
        <f>IF(N83&gt;=30,1,0)</f>
        <v>0</v>
      </c>
      <c r="Q142" s="174">
        <f>IF(N83&lt;36,1,0)</f>
        <v>1</v>
      </c>
      <c r="R142" s="174"/>
      <c r="S142" s="181">
        <v>2.1</v>
      </c>
      <c r="T142" s="182" t="b">
        <f>IF(V142+W142=2,2.1,FALSE)</f>
        <v>0</v>
      </c>
      <c r="U142" s="183"/>
      <c r="V142" s="174">
        <f>IF(T83&gt;=22,1,0)</f>
        <v>0</v>
      </c>
      <c r="W142" s="174">
        <f>IF(T83&lt;27,1,0)</f>
        <v>1</v>
      </c>
      <c r="X142" s="174"/>
      <c r="Y142" s="174"/>
      <c r="Z142" s="174"/>
      <c r="AA142" s="174"/>
      <c r="AB142" s="174"/>
      <c r="AC142" s="174"/>
      <c r="AD142" s="174"/>
      <c r="AE142" s="174"/>
      <c r="AF142" s="174"/>
      <c r="AG142" s="174"/>
      <c r="AH142" s="174"/>
      <c r="AI142" s="174"/>
      <c r="AJ142" s="174"/>
      <c r="AK142" s="174"/>
      <c r="AL142" s="174"/>
      <c r="AM142" s="174"/>
      <c r="AN142" s="174"/>
      <c r="AO142" s="174"/>
      <c r="AP142" s="174"/>
      <c r="AQ142" s="174"/>
      <c r="AR142" s="174"/>
      <c r="AS142" s="174"/>
      <c r="AT142" s="174"/>
      <c r="AU142" s="174"/>
      <c r="AV142" s="174"/>
      <c r="AW142" s="174"/>
      <c r="AX142" s="174"/>
      <c r="AY142" s="174"/>
      <c r="AZ142" s="174"/>
      <c r="BA142" s="174"/>
      <c r="BB142" s="174"/>
      <c r="BC142" s="174"/>
      <c r="BD142" s="174"/>
      <c r="BE142" s="174"/>
      <c r="BF142" s="174"/>
      <c r="BG142" s="174"/>
      <c r="BH142" s="174"/>
      <c r="BI142" s="174"/>
      <c r="BJ142" s="174"/>
      <c r="BK142" s="174"/>
      <c r="BL142" s="174"/>
      <c r="BM142" s="174"/>
      <c r="BN142" s="174"/>
      <c r="BO142" s="174"/>
      <c r="BP142" s="174"/>
    </row>
    <row r="143" spans="1:68" s="23" customFormat="1" ht="12.75">
      <c r="A143" s="166">
        <v>2.2</v>
      </c>
      <c r="B143" s="167" t="b">
        <f>IF(D143+E143=2,2.2,FALSE)</f>
        <v>0</v>
      </c>
      <c r="C143" s="168"/>
      <c r="D143" s="23">
        <f>IF(B83&gt;=6.8,1,0)</f>
        <v>0</v>
      </c>
      <c r="E143" s="23">
        <f>IF(B83&lt;7.7,1,0)</f>
        <v>1</v>
      </c>
      <c r="G143" s="181">
        <v>2.2</v>
      </c>
      <c r="H143" s="182" t="b">
        <f>IF(J143+K143=2,2.2,FALSE)</f>
        <v>0</v>
      </c>
      <c r="I143" s="183"/>
      <c r="J143" s="174">
        <f>IF(H83&lt;=3.14,1,0)</f>
        <v>1</v>
      </c>
      <c r="K143" s="174">
        <f>IF(H83&gt;2.87,1,0)</f>
        <v>0</v>
      </c>
      <c r="L143" s="174"/>
      <c r="M143" s="181">
        <v>2.2</v>
      </c>
      <c r="N143" s="182" t="b">
        <f>IF(P143+Q143=2,2.2,FALSE)</f>
        <v>0</v>
      </c>
      <c r="O143" s="183"/>
      <c r="P143" s="174">
        <f>IF(N83&gt;=36,1,0)</f>
        <v>0</v>
      </c>
      <c r="Q143" s="174">
        <f>IF(N83&lt;42,1,0)</f>
        <v>1</v>
      </c>
      <c r="R143" s="174"/>
      <c r="S143" s="181">
        <v>2.2</v>
      </c>
      <c r="T143" s="182" t="b">
        <f>IF(V143+W143=2,2.2,FALSE)</f>
        <v>0</v>
      </c>
      <c r="U143" s="183"/>
      <c r="V143" s="174">
        <f>IF(T83&gt;=27,1,0)</f>
        <v>0</v>
      </c>
      <c r="W143" s="174">
        <f>IF(T83&lt;32,1,0)</f>
        <v>1</v>
      </c>
      <c r="X143" s="174"/>
      <c r="Y143" s="174"/>
      <c r="Z143" s="174"/>
      <c r="AA143" s="174"/>
      <c r="AB143" s="174"/>
      <c r="AC143" s="174"/>
      <c r="AD143" s="174"/>
      <c r="AE143" s="174"/>
      <c r="AF143" s="174"/>
      <c r="AG143" s="174"/>
      <c r="AH143" s="174"/>
      <c r="AI143" s="174"/>
      <c r="AJ143" s="174"/>
      <c r="AK143" s="174"/>
      <c r="AL143" s="174"/>
      <c r="AM143" s="174"/>
      <c r="AN143" s="174"/>
      <c r="AO143" s="174"/>
      <c r="AP143" s="174"/>
      <c r="AQ143" s="174"/>
      <c r="AR143" s="174"/>
      <c r="AS143" s="174"/>
      <c r="AT143" s="174"/>
      <c r="AU143" s="174"/>
      <c r="AV143" s="174"/>
      <c r="AW143" s="174"/>
      <c r="AX143" s="174"/>
      <c r="AY143" s="174"/>
      <c r="AZ143" s="174"/>
      <c r="BA143" s="174"/>
      <c r="BB143" s="174"/>
      <c r="BC143" s="174"/>
      <c r="BD143" s="174"/>
      <c r="BE143" s="174"/>
      <c r="BF143" s="174"/>
      <c r="BG143" s="174"/>
      <c r="BH143" s="174"/>
      <c r="BI143" s="174"/>
      <c r="BJ143" s="174"/>
      <c r="BK143" s="174"/>
      <c r="BL143" s="174"/>
      <c r="BM143" s="174"/>
      <c r="BN143" s="174"/>
      <c r="BO143" s="174"/>
      <c r="BP143" s="174"/>
    </row>
    <row r="144" spans="1:68" s="23" customFormat="1" ht="12.75">
      <c r="A144" s="166">
        <v>2.3</v>
      </c>
      <c r="B144" s="167" t="b">
        <f>IF(D144+E144=2,2.3,FALSE)</f>
        <v>0</v>
      </c>
      <c r="C144" s="168"/>
      <c r="D144" s="23">
        <f>IF(B83&gt;=7.7,1,0)</f>
        <v>0</v>
      </c>
      <c r="E144" s="23">
        <f>IF(B83&lt;8.6,1,0)</f>
        <v>1</v>
      </c>
      <c r="G144" s="181">
        <v>2.3</v>
      </c>
      <c r="H144" s="182" t="b">
        <f>IF(J144+K144=2,2.3,FALSE)</f>
        <v>0</v>
      </c>
      <c r="I144" s="183"/>
      <c r="J144" s="174">
        <f>IF(H83&lt;=2.87,1,0)</f>
        <v>1</v>
      </c>
      <c r="K144" s="174">
        <f>IF(H83&gt;2.64,1,0)</f>
        <v>0</v>
      </c>
      <c r="L144" s="174"/>
      <c r="M144" s="181">
        <v>2.3</v>
      </c>
      <c r="N144" s="182" t="b">
        <f>IF(P144+Q144=2,2.3,FALSE)</f>
        <v>0</v>
      </c>
      <c r="O144" s="183"/>
      <c r="P144" s="174">
        <f>IF(N83&gt;=42,1,0)</f>
        <v>0</v>
      </c>
      <c r="Q144" s="174">
        <f>IF(N83&lt;49,1,0)</f>
        <v>1</v>
      </c>
      <c r="R144" s="174"/>
      <c r="S144" s="181">
        <v>2.3</v>
      </c>
      <c r="T144" s="182" t="b">
        <f>IF(V144+W144=2,2.3,FALSE)</f>
        <v>0</v>
      </c>
      <c r="U144" s="183"/>
      <c r="V144" s="174">
        <f>IF(T83&gt;=32,1,0)</f>
        <v>0</v>
      </c>
      <c r="W144" s="174">
        <f>IF(T83&lt;37,1,0)</f>
        <v>1</v>
      </c>
      <c r="X144" s="174"/>
      <c r="Y144" s="174"/>
      <c r="Z144" s="174"/>
      <c r="AA144" s="174"/>
      <c r="AB144" s="174"/>
      <c r="AC144" s="174"/>
      <c r="AD144" s="174"/>
      <c r="AE144" s="174"/>
      <c r="AF144" s="174"/>
      <c r="AG144" s="174"/>
      <c r="AH144" s="174"/>
      <c r="AI144" s="174"/>
      <c r="AJ144" s="174"/>
      <c r="AK144" s="174"/>
      <c r="AL144" s="174"/>
      <c r="AM144" s="174"/>
      <c r="AN144" s="174"/>
      <c r="AO144" s="174"/>
      <c r="AP144" s="174"/>
      <c r="AQ144" s="174"/>
      <c r="AR144" s="174"/>
      <c r="AS144" s="174"/>
      <c r="AT144" s="174"/>
      <c r="AU144" s="174"/>
      <c r="AV144" s="174"/>
      <c r="AW144" s="174"/>
      <c r="AX144" s="174"/>
      <c r="AY144" s="174"/>
      <c r="AZ144" s="174"/>
      <c r="BA144" s="174"/>
      <c r="BB144" s="174"/>
      <c r="BC144" s="174"/>
      <c r="BD144" s="174"/>
      <c r="BE144" s="174"/>
      <c r="BF144" s="174"/>
      <c r="BG144" s="174"/>
      <c r="BH144" s="174"/>
      <c r="BI144" s="174"/>
      <c r="BJ144" s="174"/>
      <c r="BK144" s="174"/>
      <c r="BL144" s="174"/>
      <c r="BM144" s="174"/>
      <c r="BN144" s="174"/>
      <c r="BO144" s="174"/>
      <c r="BP144" s="174"/>
    </row>
    <row r="145" spans="1:68" s="23" customFormat="1" ht="12.75">
      <c r="A145" s="166">
        <v>2.4</v>
      </c>
      <c r="B145" s="167" t="b">
        <f>IF(D145+E145=2,2.4,FALSE)</f>
        <v>0</v>
      </c>
      <c r="C145" s="168"/>
      <c r="D145" s="23">
        <f>IF(B83&gt;=8.6,1,0)</f>
        <v>0</v>
      </c>
      <c r="E145" s="23">
        <f>IF(B83&lt;9.7,1,0)</f>
        <v>1</v>
      </c>
      <c r="G145" s="181">
        <v>2.4</v>
      </c>
      <c r="H145" s="182" t="b">
        <f>IF(J145+K145=2,2.4,FALSE)</f>
        <v>0</v>
      </c>
      <c r="I145" s="183"/>
      <c r="J145" s="174">
        <f>IF(H83&lt;=2.64,1,0)</f>
        <v>1</v>
      </c>
      <c r="K145" s="174">
        <f>IF(H83&gt;2.4,1,0)</f>
        <v>0</v>
      </c>
      <c r="L145" s="174"/>
      <c r="M145" s="181">
        <v>2.4</v>
      </c>
      <c r="N145" s="182" t="b">
        <f>IF(P145+Q145=2,2.4,FALSE)</f>
        <v>0</v>
      </c>
      <c r="O145" s="183"/>
      <c r="P145" s="174">
        <f>IF(N83&gt;=49,1,0)</f>
        <v>0</v>
      </c>
      <c r="Q145" s="174">
        <f>IF(N83&lt;58,1,0)</f>
        <v>1</v>
      </c>
      <c r="R145" s="174"/>
      <c r="S145" s="181">
        <v>2.4</v>
      </c>
      <c r="T145" s="182" t="b">
        <f>IF(V145+W145=2,2.4,FALSE)</f>
        <v>0</v>
      </c>
      <c r="U145" s="183"/>
      <c r="V145" s="174">
        <f>IF(T83&gt;=37,1,0)</f>
        <v>0</v>
      </c>
      <c r="W145" s="174">
        <f>IF(T83&lt;45,1,0)</f>
        <v>1</v>
      </c>
      <c r="X145" s="174"/>
      <c r="Y145" s="174"/>
      <c r="Z145" s="174"/>
      <c r="AA145" s="174"/>
      <c r="AB145" s="174"/>
      <c r="AC145" s="174"/>
      <c r="AD145" s="174"/>
      <c r="AE145" s="174"/>
      <c r="AF145" s="174"/>
      <c r="AG145" s="174"/>
      <c r="AH145" s="174"/>
      <c r="AI145" s="174"/>
      <c r="AJ145" s="174"/>
      <c r="AK145" s="174"/>
      <c r="AL145" s="174"/>
      <c r="AM145" s="174"/>
      <c r="AN145" s="174"/>
      <c r="AO145" s="174"/>
      <c r="AP145" s="174"/>
      <c r="AQ145" s="174"/>
      <c r="AR145" s="174"/>
      <c r="AS145" s="174"/>
      <c r="AT145" s="174"/>
      <c r="AU145" s="174"/>
      <c r="AV145" s="174"/>
      <c r="AW145" s="174"/>
      <c r="AX145" s="174"/>
      <c r="AY145" s="174"/>
      <c r="AZ145" s="174"/>
      <c r="BA145" s="174"/>
      <c r="BB145" s="174"/>
      <c r="BC145" s="174"/>
      <c r="BD145" s="174"/>
      <c r="BE145" s="174"/>
      <c r="BF145" s="174"/>
      <c r="BG145" s="174"/>
      <c r="BH145" s="174"/>
      <c r="BI145" s="174"/>
      <c r="BJ145" s="174"/>
      <c r="BK145" s="174"/>
      <c r="BL145" s="174"/>
      <c r="BM145" s="174"/>
      <c r="BN145" s="174"/>
      <c r="BO145" s="174"/>
      <c r="BP145" s="174"/>
    </row>
    <row r="146" spans="1:68" s="23" customFormat="1" ht="13.5" thickBot="1">
      <c r="A146" s="169">
        <v>2.5</v>
      </c>
      <c r="B146" s="170" t="b">
        <f>IF(D146+E146=2,2.5,FALSE)</f>
        <v>0</v>
      </c>
      <c r="C146" s="171"/>
      <c r="D146" s="23">
        <f>IF(B83&gt;=9.7,1,0)</f>
        <v>0</v>
      </c>
      <c r="E146" s="23">
        <f>IF(B83&lt;11,1,0)</f>
        <v>1</v>
      </c>
      <c r="G146" s="184">
        <v>2.5</v>
      </c>
      <c r="H146" s="185" t="b">
        <f>IF(J146+K146=2,2.5,FALSE)</f>
        <v>0</v>
      </c>
      <c r="I146" s="186"/>
      <c r="J146" s="174">
        <f>IF(H83&lt;=2.4,1,0)</f>
        <v>1</v>
      </c>
      <c r="K146" s="174">
        <f>IF(H83&gt;2.19,1,0)</f>
        <v>0</v>
      </c>
      <c r="L146" s="174"/>
      <c r="M146" s="184">
        <v>2.5</v>
      </c>
      <c r="N146" s="185" t="b">
        <f>IF(P146+Q146=2,2.5,FALSE)</f>
        <v>0</v>
      </c>
      <c r="O146" s="186"/>
      <c r="P146" s="174">
        <f>IF(N83&gt;=58,1,0)</f>
        <v>0</v>
      </c>
      <c r="Q146" s="174">
        <f>IF(N83&lt;69,1,0)</f>
        <v>1</v>
      </c>
      <c r="R146" s="174"/>
      <c r="S146" s="184">
        <v>2.5</v>
      </c>
      <c r="T146" s="185" t="b">
        <f>IF(V146+W146=2,2.5,FALSE)</f>
        <v>0</v>
      </c>
      <c r="U146" s="186"/>
      <c r="V146" s="174">
        <f>IF(T83&gt;=45,1,0)</f>
        <v>0</v>
      </c>
      <c r="W146" s="174">
        <f>IF(T83&lt;53,1,0)</f>
        <v>1</v>
      </c>
      <c r="X146" s="174"/>
      <c r="Y146" s="174"/>
      <c r="Z146" s="174"/>
      <c r="AA146" s="174"/>
      <c r="AB146" s="174"/>
      <c r="AC146" s="174"/>
      <c r="AD146" s="174"/>
      <c r="AE146" s="174"/>
      <c r="AF146" s="174"/>
      <c r="AG146" s="174"/>
      <c r="AH146" s="174"/>
      <c r="AI146" s="174"/>
      <c r="AJ146" s="174"/>
      <c r="AK146" s="174"/>
      <c r="AL146" s="174"/>
      <c r="AM146" s="174"/>
      <c r="AN146" s="174"/>
      <c r="AO146" s="174"/>
      <c r="AP146" s="174"/>
      <c r="AQ146" s="174"/>
      <c r="AR146" s="174"/>
      <c r="AS146" s="174"/>
      <c r="AT146" s="174"/>
      <c r="AU146" s="174"/>
      <c r="AV146" s="174"/>
      <c r="AW146" s="174"/>
      <c r="AX146" s="174"/>
      <c r="AY146" s="174"/>
      <c r="AZ146" s="174"/>
      <c r="BA146" s="174"/>
      <c r="BB146" s="174"/>
      <c r="BC146" s="174"/>
      <c r="BD146" s="174"/>
      <c r="BE146" s="174"/>
      <c r="BF146" s="174"/>
      <c r="BG146" s="174"/>
      <c r="BH146" s="174"/>
      <c r="BI146" s="174"/>
      <c r="BJ146" s="174"/>
      <c r="BK146" s="174"/>
      <c r="BL146" s="174"/>
      <c r="BM146" s="174"/>
      <c r="BN146" s="174"/>
      <c r="BO146" s="174"/>
      <c r="BP146" s="174"/>
    </row>
    <row r="147" spans="1:68" s="23" customFormat="1" ht="12.75">
      <c r="A147" s="163">
        <v>2.6</v>
      </c>
      <c r="B147" s="164" t="b">
        <f>IF(D147+E147=2,2.6,FALSE)</f>
        <v>0</v>
      </c>
      <c r="C147" s="165"/>
      <c r="D147" s="23">
        <f>IF(B83&gt;=11,1,0)</f>
        <v>0</v>
      </c>
      <c r="E147" s="23">
        <f>IF(B83&lt;12,1,0)</f>
        <v>1</v>
      </c>
      <c r="G147" s="178">
        <v>2.6</v>
      </c>
      <c r="H147" s="179" t="b">
        <f>IF(J147+K147=2,2.6,FALSE)</f>
        <v>0</v>
      </c>
      <c r="I147" s="180"/>
      <c r="J147" s="174">
        <f>IF(H83&lt;=2.19,1,0)</f>
        <v>1</v>
      </c>
      <c r="K147" s="174">
        <f>IF(H83&gt;2.02,1,0)</f>
        <v>0</v>
      </c>
      <c r="L147" s="174"/>
      <c r="M147" s="178">
        <v>2.6</v>
      </c>
      <c r="N147" s="179" t="b">
        <f>IF(P147+Q147=2,2.6,FALSE)</f>
        <v>0</v>
      </c>
      <c r="O147" s="180"/>
      <c r="P147" s="174">
        <f>IF(N83&gt;=69,1,0)</f>
        <v>0</v>
      </c>
      <c r="Q147" s="174">
        <f>IF(N83&lt;80,1,0)</f>
        <v>1</v>
      </c>
      <c r="R147" s="174"/>
      <c r="S147" s="178">
        <v>2.6</v>
      </c>
      <c r="T147" s="179" t="b">
        <f>IF(V147+W147=2,2.6,FALSE)</f>
        <v>0</v>
      </c>
      <c r="U147" s="180"/>
      <c r="V147" s="174">
        <f>IF(T83&gt;=53,1,0)</f>
        <v>0</v>
      </c>
      <c r="W147" s="174">
        <f>IF(T83&lt;63,1,0)</f>
        <v>1</v>
      </c>
      <c r="X147" s="174"/>
      <c r="Y147" s="174"/>
      <c r="Z147" s="174"/>
      <c r="AA147" s="174"/>
      <c r="AB147" s="174"/>
      <c r="AC147" s="174"/>
      <c r="AD147" s="174"/>
      <c r="AE147" s="174"/>
      <c r="AF147" s="174"/>
      <c r="AG147" s="174"/>
      <c r="AH147" s="174"/>
      <c r="AI147" s="174"/>
      <c r="AJ147" s="174"/>
      <c r="AK147" s="174"/>
      <c r="AL147" s="174"/>
      <c r="AM147" s="174"/>
      <c r="AN147" s="174"/>
      <c r="AO147" s="174"/>
      <c r="AP147" s="174"/>
      <c r="AQ147" s="174"/>
      <c r="AR147" s="174"/>
      <c r="AS147" s="174"/>
      <c r="AT147" s="174"/>
      <c r="AU147" s="174"/>
      <c r="AV147" s="174"/>
      <c r="AW147" s="174"/>
      <c r="AX147" s="174"/>
      <c r="AY147" s="174"/>
      <c r="AZ147" s="174"/>
      <c r="BA147" s="174"/>
      <c r="BB147" s="174"/>
      <c r="BC147" s="174"/>
      <c r="BD147" s="174"/>
      <c r="BE147" s="174"/>
      <c r="BF147" s="174"/>
      <c r="BG147" s="174"/>
      <c r="BH147" s="174"/>
      <c r="BI147" s="174"/>
      <c r="BJ147" s="174"/>
      <c r="BK147" s="174"/>
      <c r="BL147" s="174"/>
      <c r="BM147" s="174"/>
      <c r="BN147" s="174"/>
      <c r="BO147" s="174"/>
      <c r="BP147" s="174"/>
    </row>
    <row r="148" spans="1:68" s="23" customFormat="1" ht="12.75">
      <c r="A148" s="166">
        <v>2.7</v>
      </c>
      <c r="B148" s="167" t="b">
        <f>IF(D148+E148=2,2.7,FALSE)</f>
        <v>0</v>
      </c>
      <c r="C148" s="168"/>
      <c r="D148" s="23">
        <f>IF(B83&gt;=12,1,0)</f>
        <v>0</v>
      </c>
      <c r="E148" s="23">
        <f>IF(B83&lt;14,1,0)</f>
        <v>1</v>
      </c>
      <c r="G148" s="181">
        <v>2.7</v>
      </c>
      <c r="H148" s="182" t="b">
        <f>IF(J148+K148=2,2.7,FALSE)</f>
        <v>0</v>
      </c>
      <c r="I148" s="183"/>
      <c r="J148" s="174">
        <f>IF(H83&lt;=2.02,1,0)</f>
        <v>1</v>
      </c>
      <c r="K148" s="174">
        <f>IF(H83&gt;1.84,1,0)</f>
        <v>0</v>
      </c>
      <c r="L148" s="174"/>
      <c r="M148" s="181">
        <v>2.7</v>
      </c>
      <c r="N148" s="182" t="b">
        <f>IF(P148+Q148=2,2.7,FALSE)</f>
        <v>0</v>
      </c>
      <c r="O148" s="183"/>
      <c r="P148" s="174">
        <f>IF(N83&gt;=80,1,0)</f>
        <v>0</v>
      </c>
      <c r="Q148" s="174">
        <f>IF(N83&lt;94,1,0)</f>
        <v>1</v>
      </c>
      <c r="R148" s="174"/>
      <c r="S148" s="181">
        <v>2.7</v>
      </c>
      <c r="T148" s="182" t="b">
        <f>IF(V148+W148=2,2.7,FALSE)</f>
        <v>0</v>
      </c>
      <c r="U148" s="183"/>
      <c r="V148" s="174">
        <f>IF(T83&gt;=63,1,0)</f>
        <v>0</v>
      </c>
      <c r="W148" s="174">
        <f>IF(T83&lt;75,1,0)</f>
        <v>1</v>
      </c>
      <c r="X148" s="174"/>
      <c r="Y148" s="174"/>
      <c r="Z148" s="174"/>
      <c r="AA148" s="174"/>
      <c r="AB148" s="174"/>
      <c r="AC148" s="174"/>
      <c r="AD148" s="174"/>
      <c r="AE148" s="174"/>
      <c r="AF148" s="174"/>
      <c r="AG148" s="174"/>
      <c r="AH148" s="174"/>
      <c r="AI148" s="174"/>
      <c r="AJ148" s="174"/>
      <c r="AK148" s="174"/>
      <c r="AL148" s="174"/>
      <c r="AM148" s="174"/>
      <c r="AN148" s="174"/>
      <c r="AO148" s="174"/>
      <c r="AP148" s="174"/>
      <c r="AQ148" s="174"/>
      <c r="AR148" s="174"/>
      <c r="AS148" s="174"/>
      <c r="AT148" s="174"/>
      <c r="AU148" s="174"/>
      <c r="AV148" s="174"/>
      <c r="AW148" s="174"/>
      <c r="AX148" s="174"/>
      <c r="AY148" s="174"/>
      <c r="AZ148" s="174"/>
      <c r="BA148" s="174"/>
      <c r="BB148" s="174"/>
      <c r="BC148" s="174"/>
      <c r="BD148" s="174"/>
      <c r="BE148" s="174"/>
      <c r="BF148" s="174"/>
      <c r="BG148" s="174"/>
      <c r="BH148" s="174"/>
      <c r="BI148" s="174"/>
      <c r="BJ148" s="174"/>
      <c r="BK148" s="174"/>
      <c r="BL148" s="174"/>
      <c r="BM148" s="174"/>
      <c r="BN148" s="174"/>
      <c r="BO148" s="174"/>
      <c r="BP148" s="174"/>
    </row>
    <row r="149" spans="1:68" s="23" customFormat="1" ht="12.75">
      <c r="A149" s="166">
        <v>2.8</v>
      </c>
      <c r="B149" s="167" t="b">
        <f>IF(D149+E149=2,2.8,FALSE)</f>
        <v>0</v>
      </c>
      <c r="C149" s="168"/>
      <c r="D149" s="23">
        <f>IF(B83&gt;=14,1,0)</f>
        <v>0</v>
      </c>
      <c r="E149" s="23">
        <f>IF(B83&lt;15,1,0)</f>
        <v>1</v>
      </c>
      <c r="G149" s="181">
        <v>2.8</v>
      </c>
      <c r="H149" s="182" t="b">
        <f>IF(J149+K149=2,2.8,FALSE)</f>
        <v>0</v>
      </c>
      <c r="I149" s="183"/>
      <c r="J149" s="174">
        <f>IF(H83&lt;=1.84,1,0)</f>
        <v>1</v>
      </c>
      <c r="K149" s="174">
        <f>IF(H83&gt;1.68,1,0)</f>
        <v>0</v>
      </c>
      <c r="L149" s="174"/>
      <c r="M149" s="181">
        <v>2.8</v>
      </c>
      <c r="N149" s="182" t="b">
        <f>IF(P149+Q149=2,2.8,FALSE)</f>
        <v>0</v>
      </c>
      <c r="O149" s="183"/>
      <c r="P149" s="174">
        <f>IF(N83&gt;=94,1,0)</f>
        <v>0</v>
      </c>
      <c r="Q149" s="174">
        <f>IF(N83&lt;112,1,0)</f>
        <v>1</v>
      </c>
      <c r="R149" s="174"/>
      <c r="S149" s="181">
        <v>2.8</v>
      </c>
      <c r="T149" s="182" t="b">
        <f>IF(V149+W149=2,2.8,FALSE)</f>
        <v>0</v>
      </c>
      <c r="U149" s="183"/>
      <c r="V149" s="174">
        <f>IF(T83&gt;=75,1,0)</f>
        <v>0</v>
      </c>
      <c r="W149" s="174">
        <f>IF(T83&lt;89,1,0)</f>
        <v>1</v>
      </c>
      <c r="X149" s="174"/>
      <c r="Y149" s="174"/>
      <c r="Z149" s="174"/>
      <c r="AA149" s="174"/>
      <c r="AB149" s="174"/>
      <c r="AC149" s="174"/>
      <c r="AD149" s="174"/>
      <c r="AE149" s="174"/>
      <c r="AF149" s="174"/>
      <c r="AG149" s="174"/>
      <c r="AH149" s="174"/>
      <c r="AI149" s="174"/>
      <c r="AJ149" s="174"/>
      <c r="AK149" s="174"/>
      <c r="AL149" s="174"/>
      <c r="AM149" s="174"/>
      <c r="AN149" s="174"/>
      <c r="AO149" s="174"/>
      <c r="AP149" s="174"/>
      <c r="AQ149" s="174"/>
      <c r="AR149" s="174"/>
      <c r="AS149" s="174"/>
      <c r="AT149" s="174"/>
      <c r="AU149" s="174"/>
      <c r="AV149" s="174"/>
      <c r="AW149" s="174"/>
      <c r="AX149" s="174"/>
      <c r="AY149" s="174"/>
      <c r="AZ149" s="174"/>
      <c r="BA149" s="174"/>
      <c r="BB149" s="174"/>
      <c r="BC149" s="174"/>
      <c r="BD149" s="174"/>
      <c r="BE149" s="174"/>
      <c r="BF149" s="174"/>
      <c r="BG149" s="174"/>
      <c r="BH149" s="174"/>
      <c r="BI149" s="174"/>
      <c r="BJ149" s="174"/>
      <c r="BK149" s="174"/>
      <c r="BL149" s="174"/>
      <c r="BM149" s="174"/>
      <c r="BN149" s="174"/>
      <c r="BO149" s="174"/>
      <c r="BP149" s="174"/>
    </row>
    <row r="150" spans="1:68" s="23" customFormat="1" ht="12.75">
      <c r="A150" s="166">
        <v>2.9</v>
      </c>
      <c r="B150" s="167" t="b">
        <f>IF(D150+E150=2,2.9,FALSE)</f>
        <v>0</v>
      </c>
      <c r="C150" s="168"/>
      <c r="D150" s="23">
        <f>IF(B83&gt;=15,1,0)</f>
        <v>0</v>
      </c>
      <c r="E150" s="23">
        <f>IF(B83&lt;17,1,0)</f>
        <v>1</v>
      </c>
      <c r="G150" s="181">
        <v>2.9</v>
      </c>
      <c r="H150" s="182" t="b">
        <f>IF(J150+K150=2,2.9,FALSE)</f>
        <v>0</v>
      </c>
      <c r="I150" s="183"/>
      <c r="J150" s="174">
        <f>IF(H83&lt;=1.68,1,0)</f>
        <v>1</v>
      </c>
      <c r="K150" s="174">
        <f>IF(H83&gt;1.53,1,0)</f>
        <v>0</v>
      </c>
      <c r="L150" s="174"/>
      <c r="M150" s="181">
        <v>2.9</v>
      </c>
      <c r="N150" s="182" t="b">
        <f>IF(P150+Q150=2,2.9,FALSE)</f>
        <v>0</v>
      </c>
      <c r="O150" s="183"/>
      <c r="P150" s="174">
        <f>IF(N83&gt;=112,1,0)</f>
        <v>0</v>
      </c>
      <c r="Q150" s="174">
        <f>IF(N83&lt;132,1,0)</f>
        <v>1</v>
      </c>
      <c r="R150" s="174"/>
      <c r="S150" s="181">
        <v>2.9</v>
      </c>
      <c r="T150" s="182" t="b">
        <f>IF(V150+W150=2,2.9,FALSE)</f>
        <v>0</v>
      </c>
      <c r="U150" s="183"/>
      <c r="V150" s="174">
        <f>IF(T83&gt;=89,1,0)</f>
        <v>0</v>
      </c>
      <c r="W150" s="174">
        <f>IF(T83&lt;107,1,0)</f>
        <v>1</v>
      </c>
      <c r="X150" s="174"/>
      <c r="Y150" s="174"/>
      <c r="Z150" s="174"/>
      <c r="AA150" s="174"/>
      <c r="AB150" s="174"/>
      <c r="AC150" s="174"/>
      <c r="AD150" s="174"/>
      <c r="AE150" s="174"/>
      <c r="AF150" s="174"/>
      <c r="AG150" s="174"/>
      <c r="AH150" s="174"/>
      <c r="AI150" s="174"/>
      <c r="AJ150" s="174"/>
      <c r="AK150" s="174"/>
      <c r="AL150" s="174"/>
      <c r="AM150" s="174"/>
      <c r="AN150" s="174"/>
      <c r="AO150" s="174"/>
      <c r="AP150" s="174"/>
      <c r="AQ150" s="174"/>
      <c r="AR150" s="174"/>
      <c r="AS150" s="174"/>
      <c r="AT150" s="174"/>
      <c r="AU150" s="174"/>
      <c r="AV150" s="174"/>
      <c r="AW150" s="174"/>
      <c r="AX150" s="174"/>
      <c r="AY150" s="174"/>
      <c r="AZ150" s="174"/>
      <c r="BA150" s="174"/>
      <c r="BB150" s="174"/>
      <c r="BC150" s="174"/>
      <c r="BD150" s="174"/>
      <c r="BE150" s="174"/>
      <c r="BF150" s="174"/>
      <c r="BG150" s="174"/>
      <c r="BH150" s="174"/>
      <c r="BI150" s="174"/>
      <c r="BJ150" s="174"/>
      <c r="BK150" s="174"/>
      <c r="BL150" s="174"/>
      <c r="BM150" s="174"/>
      <c r="BN150" s="174"/>
      <c r="BO150" s="174"/>
      <c r="BP150" s="174"/>
    </row>
    <row r="151" spans="1:68" s="23" customFormat="1" ht="13.5" thickBot="1">
      <c r="A151" s="169">
        <v>3</v>
      </c>
      <c r="B151" s="170" t="b">
        <f>IF(D151+E151=2,3,FALSE)</f>
        <v>0</v>
      </c>
      <c r="C151" s="171"/>
      <c r="D151" s="23">
        <f>IF(B83&gt;=17,1,0)</f>
        <v>0</v>
      </c>
      <c r="E151" s="23">
        <f>IF(B83&lt;19,1,0)</f>
        <v>1</v>
      </c>
      <c r="G151" s="184">
        <v>3</v>
      </c>
      <c r="H151" s="185" t="b">
        <f>IF(J151+K151=2,3,FALSE)</f>
        <v>0</v>
      </c>
      <c r="I151" s="186"/>
      <c r="J151" s="174">
        <f>IF(H83&lt;=1.53,1,0)</f>
        <v>1</v>
      </c>
      <c r="K151" s="174">
        <f>IF(H83&gt;1.41,1,0)</f>
        <v>0</v>
      </c>
      <c r="L151" s="174"/>
      <c r="M151" s="184">
        <v>3</v>
      </c>
      <c r="N151" s="185" t="b">
        <f>IF(P151+Q151=2,3,FALSE)</f>
        <v>0</v>
      </c>
      <c r="O151" s="186"/>
      <c r="P151" s="174">
        <f>IF(N83&gt;=132,1,0)</f>
        <v>0</v>
      </c>
      <c r="Q151" s="174">
        <f>IF(N83&lt;153,1,0)</f>
        <v>1</v>
      </c>
      <c r="R151" s="174"/>
      <c r="S151" s="184">
        <v>3</v>
      </c>
      <c r="T151" s="185" t="b">
        <f>IF(V151+W151=2,3,FALSE)</f>
        <v>0</v>
      </c>
      <c r="U151" s="186"/>
      <c r="V151" s="174">
        <f>IF(T83&gt;=107,1,0)</f>
        <v>0</v>
      </c>
      <c r="W151" s="174">
        <f>IF(T83&lt;125,1,0)</f>
        <v>1</v>
      </c>
      <c r="X151" s="174"/>
      <c r="Y151" s="174"/>
      <c r="Z151" s="174"/>
      <c r="AA151" s="174"/>
      <c r="AB151" s="174"/>
      <c r="AC151" s="174"/>
      <c r="AD151" s="174"/>
      <c r="AE151" s="174"/>
      <c r="AF151" s="174"/>
      <c r="AG151" s="174"/>
      <c r="AH151" s="174"/>
      <c r="AI151" s="174"/>
      <c r="AJ151" s="174"/>
      <c r="AK151" s="174"/>
      <c r="AL151" s="174"/>
      <c r="AM151" s="174"/>
      <c r="AN151" s="174"/>
      <c r="AO151" s="174"/>
      <c r="AP151" s="174"/>
      <c r="AQ151" s="174"/>
      <c r="AR151" s="174"/>
      <c r="AS151" s="174"/>
      <c r="AT151" s="174"/>
      <c r="AU151" s="174"/>
      <c r="AV151" s="174"/>
      <c r="AW151" s="174"/>
      <c r="AX151" s="174"/>
      <c r="AY151" s="174"/>
      <c r="AZ151" s="174"/>
      <c r="BA151" s="174"/>
      <c r="BB151" s="174"/>
      <c r="BC151" s="174"/>
      <c r="BD151" s="174"/>
      <c r="BE151" s="174"/>
      <c r="BF151" s="174"/>
      <c r="BG151" s="174"/>
      <c r="BH151" s="174"/>
      <c r="BI151" s="174"/>
      <c r="BJ151" s="174"/>
      <c r="BK151" s="174"/>
      <c r="BL151" s="174"/>
      <c r="BM151" s="174"/>
      <c r="BN151" s="174"/>
      <c r="BO151" s="174"/>
      <c r="BP151" s="174"/>
    </row>
    <row r="152" spans="1:68" s="23" customFormat="1" ht="12.75">
      <c r="A152" s="163">
        <v>3.1</v>
      </c>
      <c r="B152" s="164" t="b">
        <f>IF(D152+E152=2,3.1,FALSE)</f>
        <v>0</v>
      </c>
      <c r="C152" s="165"/>
      <c r="D152" s="23">
        <f>IF(B83&gt;=19,1,0)</f>
        <v>0</v>
      </c>
      <c r="E152" s="23">
        <f>IF(B83&lt;22,1,0)</f>
        <v>1</v>
      </c>
      <c r="G152" s="178">
        <v>3.1</v>
      </c>
      <c r="H152" s="179" t="b">
        <f>IF(J152+K152=2,3.1,FALSE)</f>
        <v>0</v>
      </c>
      <c r="I152" s="180"/>
      <c r="J152" s="174">
        <f>IF(H83&lt;=1.41,1,0)</f>
        <v>1</v>
      </c>
      <c r="K152" s="174">
        <f>IF(H83&gt;1.29,1,0)</f>
        <v>0</v>
      </c>
      <c r="L152" s="174"/>
      <c r="M152" s="178">
        <v>3.1</v>
      </c>
      <c r="N152" s="179" t="b">
        <f>IF(P152+Q152=2,3.1,FALSE)</f>
        <v>0</v>
      </c>
      <c r="O152" s="180"/>
      <c r="P152" s="174">
        <f>IF(N83&gt;=153,1,0)</f>
        <v>0</v>
      </c>
      <c r="Q152" s="174">
        <f>IF(N83&lt;181,1,0)</f>
        <v>1</v>
      </c>
      <c r="R152" s="174"/>
      <c r="S152" s="178">
        <v>3.1</v>
      </c>
      <c r="T152" s="179" t="b">
        <f>IF(V152+W152=2,3.1,FALSE)</f>
        <v>0</v>
      </c>
      <c r="U152" s="180"/>
      <c r="V152" s="174">
        <f>IF(T83&gt;=125,1,0)</f>
        <v>0</v>
      </c>
      <c r="W152" s="174">
        <f>IF(T83&lt;149,1,0)</f>
        <v>1</v>
      </c>
      <c r="X152" s="174"/>
      <c r="Y152" s="174"/>
      <c r="Z152" s="174"/>
      <c r="AA152" s="174"/>
      <c r="AB152" s="174"/>
      <c r="AC152" s="174"/>
      <c r="AD152" s="174"/>
      <c r="AE152" s="174"/>
      <c r="AF152" s="174"/>
      <c r="AG152" s="174"/>
      <c r="AH152" s="174"/>
      <c r="AI152" s="174"/>
      <c r="AJ152" s="174"/>
      <c r="AK152" s="174"/>
      <c r="AL152" s="174"/>
      <c r="AM152" s="174"/>
      <c r="AN152" s="174"/>
      <c r="AO152" s="174"/>
      <c r="AP152" s="174"/>
      <c r="AQ152" s="174"/>
      <c r="AR152" s="174"/>
      <c r="AS152" s="174"/>
      <c r="AT152" s="174"/>
      <c r="AU152" s="174"/>
      <c r="AV152" s="174"/>
      <c r="AW152" s="174"/>
      <c r="AX152" s="174"/>
      <c r="AY152" s="174"/>
      <c r="AZ152" s="174"/>
      <c r="BA152" s="174"/>
      <c r="BB152" s="174"/>
      <c r="BC152" s="174"/>
      <c r="BD152" s="174"/>
      <c r="BE152" s="174"/>
      <c r="BF152" s="174"/>
      <c r="BG152" s="174"/>
      <c r="BH152" s="174"/>
      <c r="BI152" s="174"/>
      <c r="BJ152" s="174"/>
      <c r="BK152" s="174"/>
      <c r="BL152" s="174"/>
      <c r="BM152" s="174"/>
      <c r="BN152" s="174"/>
      <c r="BO152" s="174"/>
      <c r="BP152" s="174"/>
    </row>
    <row r="153" spans="1:68" s="23" customFormat="1" ht="12.75">
      <c r="A153" s="166">
        <v>3.2</v>
      </c>
      <c r="B153" s="167" t="b">
        <f>IF(D153+E153=2,3.2,FALSE)</f>
        <v>0</v>
      </c>
      <c r="C153" s="168"/>
      <c r="D153" s="23">
        <f>IF(B83&gt;=22,1,0)</f>
        <v>0</v>
      </c>
      <c r="E153" s="23">
        <f>IF(B83&lt;25,1,0)</f>
        <v>1</v>
      </c>
      <c r="G153" s="181">
        <v>3.2</v>
      </c>
      <c r="H153" s="182" t="b">
        <f>IF(J153+K153=2,3.2,FALSE)</f>
        <v>0</v>
      </c>
      <c r="I153" s="183"/>
      <c r="J153" s="174">
        <f>IF(H83&lt;=1.29,1,0)</f>
        <v>1</v>
      </c>
      <c r="K153" s="174">
        <f>IF(H83&gt;1.17,1,0)</f>
        <v>0</v>
      </c>
      <c r="L153" s="174"/>
      <c r="M153" s="181">
        <v>3.2</v>
      </c>
      <c r="N153" s="182" t="b">
        <f>IF(P153+Q153=2,3.2,FALSE)</f>
        <v>0</v>
      </c>
      <c r="O153" s="183"/>
      <c r="P153" s="174">
        <f>IF(N83&gt;=181,1,0)</f>
        <v>0</v>
      </c>
      <c r="Q153" s="174">
        <f>IF(N83&lt;214,1,0)</f>
        <v>1</v>
      </c>
      <c r="R153" s="174"/>
      <c r="S153" s="181">
        <v>3.2</v>
      </c>
      <c r="T153" s="182" t="b">
        <f>IF(V153+W153=2,3.2,FALSE)</f>
        <v>0</v>
      </c>
      <c r="U153" s="183"/>
      <c r="V153" s="174">
        <f>IF(T83&gt;=149,1,0)</f>
        <v>0</v>
      </c>
      <c r="W153" s="174">
        <f>IF(T83&lt;178,1,0)</f>
        <v>1</v>
      </c>
      <c r="X153" s="174"/>
      <c r="Y153" s="174"/>
      <c r="Z153" s="174"/>
      <c r="AA153" s="174"/>
      <c r="AB153" s="174"/>
      <c r="AC153" s="174"/>
      <c r="AD153" s="174"/>
      <c r="AE153" s="174"/>
      <c r="AF153" s="174"/>
      <c r="AG153" s="174"/>
      <c r="AH153" s="174"/>
      <c r="AI153" s="174"/>
      <c r="AJ153" s="174"/>
      <c r="AK153" s="174"/>
      <c r="AL153" s="174"/>
      <c r="AM153" s="174"/>
      <c r="AN153" s="174"/>
      <c r="AO153" s="174"/>
      <c r="AP153" s="174"/>
      <c r="AQ153" s="174"/>
      <c r="AR153" s="174"/>
      <c r="AS153" s="174"/>
      <c r="AT153" s="174"/>
      <c r="AU153" s="174"/>
      <c r="AV153" s="174"/>
      <c r="AW153" s="174"/>
      <c r="AX153" s="174"/>
      <c r="AY153" s="174"/>
      <c r="AZ153" s="174"/>
      <c r="BA153" s="174"/>
      <c r="BB153" s="174"/>
      <c r="BC153" s="174"/>
      <c r="BD153" s="174"/>
      <c r="BE153" s="174"/>
      <c r="BF153" s="174"/>
      <c r="BG153" s="174"/>
      <c r="BH153" s="174"/>
      <c r="BI153" s="174"/>
      <c r="BJ153" s="174"/>
      <c r="BK153" s="174"/>
      <c r="BL153" s="174"/>
      <c r="BM153" s="174"/>
      <c r="BN153" s="174"/>
      <c r="BO153" s="174"/>
      <c r="BP153" s="174"/>
    </row>
    <row r="154" spans="1:68" s="23" customFormat="1" ht="12.75">
      <c r="A154" s="166">
        <v>3.3</v>
      </c>
      <c r="B154" s="167" t="b">
        <f>IF(D154+E154=2,3.3,FALSE)</f>
        <v>0</v>
      </c>
      <c r="C154" s="168"/>
      <c r="D154" s="23">
        <f>IF(B83&gt;=25,1,0)</f>
        <v>0</v>
      </c>
      <c r="E154" s="23">
        <f>IF(B83&lt;28,1,0)</f>
        <v>1</v>
      </c>
      <c r="G154" s="181">
        <v>3.3</v>
      </c>
      <c r="H154" s="182" t="b">
        <f>IF(J154+K154=2,3.3,FALSE)</f>
        <v>0</v>
      </c>
      <c r="I154" s="183"/>
      <c r="J154" s="174">
        <f>IF(H83&lt;=1.17,1,0)</f>
        <v>1</v>
      </c>
      <c r="K154" s="174">
        <f>IF(H83&gt;1.08,1,0)</f>
        <v>0</v>
      </c>
      <c r="L154" s="174"/>
      <c r="M154" s="181">
        <v>3.3</v>
      </c>
      <c r="N154" s="182" t="b">
        <f>IF(P154+Q154=2,3.3,FALSE)</f>
        <v>0</v>
      </c>
      <c r="O154" s="183"/>
      <c r="P154" s="174">
        <f>IF(N83&gt;=214,1,0)</f>
        <v>0</v>
      </c>
      <c r="Q154" s="174">
        <f>IF(N83&lt;249,1,0)</f>
        <v>1</v>
      </c>
      <c r="R154" s="174"/>
      <c r="S154" s="181">
        <v>3.3</v>
      </c>
      <c r="T154" s="182" t="b">
        <f>IF(V154+W154=2,3.3,FALSE)</f>
        <v>0</v>
      </c>
      <c r="U154" s="183"/>
      <c r="V154" s="174">
        <f>IF(T83&gt;=178,1,0)</f>
        <v>0</v>
      </c>
      <c r="W154" s="174">
        <f>IF(T83&lt;210,1,0)</f>
        <v>1</v>
      </c>
      <c r="X154" s="174"/>
      <c r="Y154" s="174"/>
      <c r="Z154" s="174"/>
      <c r="AA154" s="174"/>
      <c r="AB154" s="174"/>
      <c r="AC154" s="174"/>
      <c r="AD154" s="174"/>
      <c r="AE154" s="174"/>
      <c r="AF154" s="174"/>
      <c r="AG154" s="174"/>
      <c r="AH154" s="174"/>
      <c r="AI154" s="174"/>
      <c r="AJ154" s="174"/>
      <c r="AK154" s="174"/>
      <c r="AL154" s="174"/>
      <c r="AM154" s="174"/>
      <c r="AN154" s="174"/>
      <c r="AO154" s="174"/>
      <c r="AP154" s="174"/>
      <c r="AQ154" s="174"/>
      <c r="AR154" s="174"/>
      <c r="AS154" s="174"/>
      <c r="AT154" s="174"/>
      <c r="AU154" s="174"/>
      <c r="AV154" s="174"/>
      <c r="AW154" s="174"/>
      <c r="AX154" s="174"/>
      <c r="AY154" s="174"/>
      <c r="AZ154" s="174"/>
      <c r="BA154" s="174"/>
      <c r="BB154" s="174"/>
      <c r="BC154" s="174"/>
      <c r="BD154" s="174"/>
      <c r="BE154" s="174"/>
      <c r="BF154" s="174"/>
      <c r="BG154" s="174"/>
      <c r="BH154" s="174"/>
      <c r="BI154" s="174"/>
      <c r="BJ154" s="174"/>
      <c r="BK154" s="174"/>
      <c r="BL154" s="174"/>
      <c r="BM154" s="174"/>
      <c r="BN154" s="174"/>
      <c r="BO154" s="174"/>
      <c r="BP154" s="174"/>
    </row>
    <row r="155" spans="1:68" s="23" customFormat="1" ht="12.75">
      <c r="A155" s="166">
        <v>3.4</v>
      </c>
      <c r="B155" s="167" t="b">
        <f>IF(D155+E155=2,3.4,FALSE)</f>
        <v>0</v>
      </c>
      <c r="C155" s="168"/>
      <c r="D155" s="23">
        <f>IF(B83&gt;=28,1,0)</f>
        <v>0</v>
      </c>
      <c r="E155" s="23">
        <f>IF(B83&lt;31,1,0)</f>
        <v>1</v>
      </c>
      <c r="G155" s="181">
        <v>3.4</v>
      </c>
      <c r="H155" s="182" t="b">
        <f>IF(J155+K155=2,3.4,FALSE)</f>
        <v>0</v>
      </c>
      <c r="I155" s="183"/>
      <c r="J155" s="174">
        <f>IF(H83&lt;=1.08,1,0)</f>
        <v>1</v>
      </c>
      <c r="K155" s="174">
        <f>IF(H83&gt;0.98,1,0)</f>
        <v>0</v>
      </c>
      <c r="L155" s="174"/>
      <c r="M155" s="181">
        <v>3.4</v>
      </c>
      <c r="N155" s="182" t="b">
        <f>IF(P155+Q155=2,3.4,FALSE)</f>
        <v>0</v>
      </c>
      <c r="O155" s="183"/>
      <c r="P155" s="174">
        <f>IF(N83&gt;=249,1,0)</f>
        <v>0</v>
      </c>
      <c r="Q155" s="174">
        <f>IF(N83&lt;295,1,0)</f>
        <v>1</v>
      </c>
      <c r="R155" s="174"/>
      <c r="S155" s="181">
        <v>3.4</v>
      </c>
      <c r="T155" s="182" t="b">
        <f>IF(V155+W155=2,3.4,FALSE)</f>
        <v>0</v>
      </c>
      <c r="U155" s="183"/>
      <c r="V155" s="174">
        <f>IF(T83&gt;=210,1,0)</f>
        <v>0</v>
      </c>
      <c r="W155" s="174">
        <f>IF(T83&lt;250,1,0)</f>
        <v>1</v>
      </c>
      <c r="X155" s="174"/>
      <c r="Y155" s="174"/>
      <c r="Z155" s="174"/>
      <c r="AA155" s="174"/>
      <c r="AB155" s="174"/>
      <c r="AC155" s="174"/>
      <c r="AD155" s="174"/>
      <c r="AE155" s="174"/>
      <c r="AF155" s="174"/>
      <c r="AG155" s="174"/>
      <c r="AH155" s="174"/>
      <c r="AI155" s="174"/>
      <c r="AJ155" s="174"/>
      <c r="AK155" s="174"/>
      <c r="AL155" s="174"/>
      <c r="AM155" s="174"/>
      <c r="AN155" s="174"/>
      <c r="AO155" s="174"/>
      <c r="AP155" s="174"/>
      <c r="AQ155" s="174"/>
      <c r="AR155" s="174"/>
      <c r="AS155" s="174"/>
      <c r="AT155" s="174"/>
      <c r="AU155" s="174"/>
      <c r="AV155" s="174"/>
      <c r="AW155" s="174"/>
      <c r="AX155" s="174"/>
      <c r="AY155" s="174"/>
      <c r="AZ155" s="174"/>
      <c r="BA155" s="174"/>
      <c r="BB155" s="174"/>
      <c r="BC155" s="174"/>
      <c r="BD155" s="174"/>
      <c r="BE155" s="174"/>
      <c r="BF155" s="174"/>
      <c r="BG155" s="174"/>
      <c r="BH155" s="174"/>
      <c r="BI155" s="174"/>
      <c r="BJ155" s="174"/>
      <c r="BK155" s="174"/>
      <c r="BL155" s="174"/>
      <c r="BM155" s="174"/>
      <c r="BN155" s="174"/>
      <c r="BO155" s="174"/>
      <c r="BP155" s="174"/>
    </row>
    <row r="156" spans="1:68" s="23" customFormat="1" ht="13.5" thickBot="1">
      <c r="A156" s="169">
        <v>3.5</v>
      </c>
      <c r="B156" s="170" t="b">
        <f>IF(D156+E156=2,3.5,FALSE)</f>
        <v>0</v>
      </c>
      <c r="C156" s="171"/>
      <c r="D156" s="23">
        <f>IF(B83&gt;=31,1,0)</f>
        <v>0</v>
      </c>
      <c r="E156" s="23">
        <f>IF(B83&lt;35,1,0)</f>
        <v>1</v>
      </c>
      <c r="G156" s="184">
        <v>3.5</v>
      </c>
      <c r="H156" s="185" t="b">
        <f>IF(J156+K156=2,3.5,FALSE)</f>
        <v>0</v>
      </c>
      <c r="I156" s="186"/>
      <c r="J156" s="174">
        <f>IF(H83&lt;=0.98,1,0)</f>
        <v>1</v>
      </c>
      <c r="K156" s="174">
        <f>IF(H83&gt;0.9,1,0)</f>
        <v>0</v>
      </c>
      <c r="L156" s="174"/>
      <c r="M156" s="184">
        <v>3.5</v>
      </c>
      <c r="N156" s="185" t="b">
        <f>IF(P156+Q156=2,3.5,FALSE)</f>
        <v>0</v>
      </c>
      <c r="O156" s="186"/>
      <c r="P156" s="174">
        <f>IF(N83&gt;=295,1,0)</f>
        <v>0</v>
      </c>
      <c r="Q156" s="174">
        <f>IF(N83&lt;348,1,0)</f>
        <v>1</v>
      </c>
      <c r="R156" s="174"/>
      <c r="S156" s="184">
        <v>3.5</v>
      </c>
      <c r="T156" s="185" t="b">
        <f>IF(V156+W156=2,3.5,FALSE)</f>
        <v>0</v>
      </c>
      <c r="U156" s="186"/>
      <c r="V156" s="174">
        <f>IF(T83&gt;=250,1,0)</f>
        <v>0</v>
      </c>
      <c r="W156" s="174">
        <f>IF(T83&lt;298,1,0)</f>
        <v>1</v>
      </c>
      <c r="X156" s="174"/>
      <c r="Y156" s="174"/>
      <c r="Z156" s="174"/>
      <c r="AA156" s="174"/>
      <c r="AB156" s="174"/>
      <c r="AC156" s="174"/>
      <c r="AD156" s="174"/>
      <c r="AE156" s="174"/>
      <c r="AF156" s="174"/>
      <c r="AG156" s="174"/>
      <c r="AH156" s="174"/>
      <c r="AI156" s="174"/>
      <c r="AJ156" s="174"/>
      <c r="AK156" s="174"/>
      <c r="AL156" s="174"/>
      <c r="AM156" s="174"/>
      <c r="AN156" s="174"/>
      <c r="AO156" s="174"/>
      <c r="AP156" s="174"/>
      <c r="AQ156" s="174"/>
      <c r="AR156" s="174"/>
      <c r="AS156" s="174"/>
      <c r="AT156" s="174"/>
      <c r="AU156" s="174"/>
      <c r="AV156" s="174"/>
      <c r="AW156" s="174"/>
      <c r="AX156" s="174"/>
      <c r="AY156" s="174"/>
      <c r="AZ156" s="174"/>
      <c r="BA156" s="174"/>
      <c r="BB156" s="174"/>
      <c r="BC156" s="174"/>
      <c r="BD156" s="174"/>
      <c r="BE156" s="174"/>
      <c r="BF156" s="174"/>
      <c r="BG156" s="174"/>
      <c r="BH156" s="174"/>
      <c r="BI156" s="174"/>
      <c r="BJ156" s="174"/>
      <c r="BK156" s="174"/>
      <c r="BL156" s="174"/>
      <c r="BM156" s="174"/>
      <c r="BN156" s="174"/>
      <c r="BO156" s="174"/>
      <c r="BP156" s="174"/>
    </row>
    <row r="157" spans="1:68" s="23" customFormat="1" ht="12.75">
      <c r="A157" s="163">
        <v>3.6</v>
      </c>
      <c r="B157" s="164" t="b">
        <f>IF(D157+E157=2,3.6,FALSE)</f>
        <v>0</v>
      </c>
      <c r="C157" s="165"/>
      <c r="D157" s="23">
        <f>IF(B83&gt;=35,1,0)</f>
        <v>0</v>
      </c>
      <c r="E157" s="23">
        <f>IF(B83&lt;39,1,0)</f>
        <v>1</v>
      </c>
      <c r="G157" s="178">
        <v>3.6</v>
      </c>
      <c r="H157" s="179" t="b">
        <f>IF(J157+K157=2,3.6,FALSE)</f>
        <v>0</v>
      </c>
      <c r="I157" s="180"/>
      <c r="J157" s="174">
        <f>IF(H83&lt;=0.9,1,0)</f>
        <v>1</v>
      </c>
      <c r="K157" s="174">
        <f>IF(H83&gt;0.83,1,0)</f>
        <v>0</v>
      </c>
      <c r="L157" s="174"/>
      <c r="M157" s="178">
        <v>3.6</v>
      </c>
      <c r="N157" s="179" t="b">
        <f>IF(P157+Q157=2,3.6,FALSE)</f>
        <v>0</v>
      </c>
      <c r="O157" s="180"/>
      <c r="P157" s="174">
        <f>IF(N83&gt;=348,1,0)</f>
        <v>0</v>
      </c>
      <c r="Q157" s="174">
        <f>IF(N83&lt;406,1,0)</f>
        <v>1</v>
      </c>
      <c r="R157" s="174"/>
      <c r="S157" s="178">
        <v>3.6</v>
      </c>
      <c r="T157" s="179" t="b">
        <f>IF(V157+W157=2,3.6,FALSE)</f>
        <v>0</v>
      </c>
      <c r="U157" s="180"/>
      <c r="V157" s="174">
        <f>IF(T83&gt;=298,1,0)</f>
        <v>0</v>
      </c>
      <c r="W157" s="174">
        <f>IF(T83&lt;351,1,0)</f>
        <v>1</v>
      </c>
      <c r="X157" s="174"/>
      <c r="Y157" s="174"/>
      <c r="Z157" s="174"/>
      <c r="AA157" s="174"/>
      <c r="AB157" s="174"/>
      <c r="AC157" s="174"/>
      <c r="AD157" s="174"/>
      <c r="AE157" s="174"/>
      <c r="AF157" s="174"/>
      <c r="AG157" s="174"/>
      <c r="AH157" s="174"/>
      <c r="AI157" s="174"/>
      <c r="AJ157" s="174"/>
      <c r="AK157" s="174"/>
      <c r="AL157" s="174"/>
      <c r="AM157" s="174"/>
      <c r="AN157" s="174"/>
      <c r="AO157" s="174"/>
      <c r="AP157" s="174"/>
      <c r="AQ157" s="174"/>
      <c r="AR157" s="174"/>
      <c r="AS157" s="174"/>
      <c r="AT157" s="174"/>
      <c r="AU157" s="174"/>
      <c r="AV157" s="174"/>
      <c r="AW157" s="174"/>
      <c r="AX157" s="174"/>
      <c r="AY157" s="174"/>
      <c r="AZ157" s="174"/>
      <c r="BA157" s="174"/>
      <c r="BB157" s="174"/>
      <c r="BC157" s="174"/>
      <c r="BD157" s="174"/>
      <c r="BE157" s="174"/>
      <c r="BF157" s="174"/>
      <c r="BG157" s="174"/>
      <c r="BH157" s="174"/>
      <c r="BI157" s="174"/>
      <c r="BJ157" s="174"/>
      <c r="BK157" s="174"/>
      <c r="BL157" s="174"/>
      <c r="BM157" s="174"/>
      <c r="BN157" s="174"/>
      <c r="BO157" s="174"/>
      <c r="BP157" s="174"/>
    </row>
    <row r="158" spans="1:68" s="23" customFormat="1" ht="12.75">
      <c r="A158" s="166">
        <v>3.7</v>
      </c>
      <c r="B158" s="167" t="b">
        <f>IF(D158+E158=2,3.7,FALSE)</f>
        <v>0</v>
      </c>
      <c r="C158" s="168"/>
      <c r="D158" s="23">
        <f>IF(B83&gt;=39,1,0)</f>
        <v>0</v>
      </c>
      <c r="E158" s="23">
        <f>IF(B83&lt;44,1,0)</f>
        <v>1</v>
      </c>
      <c r="G158" s="181">
        <v>3.7</v>
      </c>
      <c r="H158" s="182" t="b">
        <f>IF(J158+K158=2,3.7,FALSE)</f>
        <v>0</v>
      </c>
      <c r="I158" s="183"/>
      <c r="J158" s="174">
        <f>IF(H83&lt;=0.83,1,0)</f>
        <v>1</v>
      </c>
      <c r="K158" s="174">
        <f>IF(H83&gt;0.75,1,0)</f>
        <v>0</v>
      </c>
      <c r="L158" s="174"/>
      <c r="M158" s="181">
        <v>3.7</v>
      </c>
      <c r="N158" s="182" t="b">
        <f>IF(P158+Q158=2,3.7,FALSE)</f>
        <v>0</v>
      </c>
      <c r="O158" s="183"/>
      <c r="P158" s="174">
        <f>IF(N83&gt;=406,1,0)</f>
        <v>0</v>
      </c>
      <c r="Q158" s="174">
        <f>IF(N83&lt;479,1,0)</f>
        <v>1</v>
      </c>
      <c r="R158" s="174"/>
      <c r="S158" s="181">
        <v>3.7</v>
      </c>
      <c r="T158" s="182" t="b">
        <f>IF(V158+W158=2,3.7,FALSE)</f>
        <v>0</v>
      </c>
      <c r="U158" s="183"/>
      <c r="V158" s="174">
        <f>IF(T83&gt;=351,1,0)</f>
        <v>0</v>
      </c>
      <c r="W158" s="174">
        <f>IF(T83&lt;418,1,0)</f>
        <v>1</v>
      </c>
      <c r="X158" s="174"/>
      <c r="Y158" s="174"/>
      <c r="Z158" s="174"/>
      <c r="AA158" s="174"/>
      <c r="AB158" s="174"/>
      <c r="AC158" s="174"/>
      <c r="AD158" s="174"/>
      <c r="AE158" s="174"/>
      <c r="AF158" s="174"/>
      <c r="AG158" s="174"/>
      <c r="AH158" s="174"/>
      <c r="AI158" s="174"/>
      <c r="AJ158" s="174"/>
      <c r="AK158" s="174"/>
      <c r="AL158" s="174"/>
      <c r="AM158" s="174"/>
      <c r="AN158" s="174"/>
      <c r="AO158" s="174"/>
      <c r="AP158" s="174"/>
      <c r="AQ158" s="174"/>
      <c r="AR158" s="174"/>
      <c r="AS158" s="174"/>
      <c r="AT158" s="174"/>
      <c r="AU158" s="174"/>
      <c r="AV158" s="174"/>
      <c r="AW158" s="174"/>
      <c r="AX158" s="174"/>
      <c r="AY158" s="174"/>
      <c r="AZ158" s="174"/>
      <c r="BA158" s="174"/>
      <c r="BB158" s="174"/>
      <c r="BC158" s="174"/>
      <c r="BD158" s="174"/>
      <c r="BE158" s="174"/>
      <c r="BF158" s="174"/>
      <c r="BG158" s="174"/>
      <c r="BH158" s="174"/>
      <c r="BI158" s="174"/>
      <c r="BJ158" s="174"/>
      <c r="BK158" s="174"/>
      <c r="BL158" s="174"/>
      <c r="BM158" s="174"/>
      <c r="BN158" s="174"/>
      <c r="BO158" s="174"/>
      <c r="BP158" s="174"/>
    </row>
    <row r="159" spans="1:68" s="23" customFormat="1" ht="12.75">
      <c r="A159" s="166">
        <v>3.8</v>
      </c>
      <c r="B159" s="167" t="b">
        <f>IF(D159+E159=2,3.8,FALSE)</f>
        <v>0</v>
      </c>
      <c r="C159" s="168"/>
      <c r="D159" s="23">
        <f>IF(B83&gt;=44,1,0)</f>
        <v>0</v>
      </c>
      <c r="E159" s="23">
        <f>IF(B83&lt;50,1,0)</f>
        <v>1</v>
      </c>
      <c r="G159" s="181">
        <v>3.8</v>
      </c>
      <c r="H159" s="182" t="b">
        <f>IF(J159+K159=2,3.8,FALSE)</f>
        <v>0</v>
      </c>
      <c r="I159" s="183"/>
      <c r="J159" s="174">
        <f>IF(H83&lt;=0.75,1,0)</f>
        <v>1</v>
      </c>
      <c r="K159" s="174">
        <f>IF(H83&gt;0.69,1,0)</f>
        <v>0</v>
      </c>
      <c r="L159" s="174"/>
      <c r="M159" s="181">
        <v>3.8</v>
      </c>
      <c r="N159" s="182" t="b">
        <f>IF(P159+Q159=2,3.8,FALSE)</f>
        <v>0</v>
      </c>
      <c r="O159" s="183"/>
      <c r="P159" s="174">
        <f>IF(N83&gt;=479,1,0)</f>
        <v>0</v>
      </c>
      <c r="Q159" s="174">
        <f>IF(N83&lt;500,1,0)</f>
        <v>1</v>
      </c>
      <c r="R159" s="174"/>
      <c r="S159" s="181">
        <v>3.8</v>
      </c>
      <c r="T159" s="182" t="b">
        <f>IF(V159+W159=2,3.8,FALSE)</f>
        <v>0</v>
      </c>
      <c r="U159" s="183"/>
      <c r="V159" s="174">
        <f>IF(T83&gt;=418,1,0)</f>
        <v>0</v>
      </c>
      <c r="W159" s="174">
        <f>IF(T83&lt;499,1,0)</f>
        <v>1</v>
      </c>
      <c r="X159" s="174"/>
      <c r="Y159" s="174"/>
      <c r="Z159" s="174"/>
      <c r="AA159" s="174"/>
      <c r="AB159" s="174"/>
      <c r="AC159" s="174"/>
      <c r="AD159" s="174"/>
      <c r="AE159" s="174"/>
      <c r="AF159" s="174"/>
      <c r="AG159" s="174"/>
      <c r="AH159" s="174"/>
      <c r="AI159" s="174"/>
      <c r="AJ159" s="174"/>
      <c r="AK159" s="174"/>
      <c r="AL159" s="174"/>
      <c r="AM159" s="174"/>
      <c r="AN159" s="174"/>
      <c r="AO159" s="174"/>
      <c r="AP159" s="174"/>
      <c r="AQ159" s="174"/>
      <c r="AR159" s="174"/>
      <c r="AS159" s="174"/>
      <c r="AT159" s="174"/>
      <c r="AU159" s="174"/>
      <c r="AV159" s="174"/>
      <c r="AW159" s="174"/>
      <c r="AX159" s="174"/>
      <c r="AY159" s="174"/>
      <c r="AZ159" s="174"/>
      <c r="BA159" s="174"/>
      <c r="BB159" s="174"/>
      <c r="BC159" s="174"/>
      <c r="BD159" s="174"/>
      <c r="BE159" s="174"/>
      <c r="BF159" s="174"/>
      <c r="BG159" s="174"/>
      <c r="BH159" s="174"/>
      <c r="BI159" s="174"/>
      <c r="BJ159" s="174"/>
      <c r="BK159" s="174"/>
      <c r="BL159" s="174"/>
      <c r="BM159" s="174"/>
      <c r="BN159" s="174"/>
      <c r="BO159" s="174"/>
      <c r="BP159" s="174"/>
    </row>
    <row r="160" spans="1:68" s="23" customFormat="1" ht="13.5" thickBot="1">
      <c r="A160" s="166">
        <v>3.9</v>
      </c>
      <c r="B160" s="167" t="b">
        <f>IF(D160+E160=2,3.9,FALSE)</f>
        <v>0</v>
      </c>
      <c r="C160" s="168"/>
      <c r="D160" s="23">
        <f>IF(B83&gt;=50,1,0)</f>
        <v>0</v>
      </c>
      <c r="E160" s="23">
        <f>IF(B83&lt;56,1,0)</f>
        <v>1</v>
      </c>
      <c r="G160" s="181">
        <v>3.9</v>
      </c>
      <c r="H160" s="182" t="b">
        <f>IF(J160+K160=2,3.9,FALSE)</f>
        <v>0</v>
      </c>
      <c r="I160" s="183"/>
      <c r="J160" s="174">
        <f>IF(H83&lt;=0.69,1,0)</f>
        <v>1</v>
      </c>
      <c r="K160" s="174">
        <f>IF(H83&gt;0.63,1,0)</f>
        <v>0</v>
      </c>
      <c r="L160" s="174"/>
      <c r="M160" s="184">
        <v>3.9</v>
      </c>
      <c r="N160" s="185" t="b">
        <f>IF(N83&gt;=500,4,FALSE)</f>
        <v>0</v>
      </c>
      <c r="O160" s="186"/>
      <c r="P160" s="174"/>
      <c r="Q160" s="174"/>
      <c r="R160" s="174"/>
      <c r="S160" s="184">
        <v>3.9</v>
      </c>
      <c r="T160" s="185" t="b">
        <f>IF(T83&gt;=499,4,FALSE)</f>
        <v>0</v>
      </c>
      <c r="U160" s="186"/>
      <c r="V160" s="174"/>
      <c r="W160" s="174"/>
      <c r="X160" s="174"/>
      <c r="Y160" s="174"/>
      <c r="Z160" s="174"/>
      <c r="AA160" s="174"/>
      <c r="AB160" s="174"/>
      <c r="AC160" s="174"/>
      <c r="AD160" s="174"/>
      <c r="AE160" s="174"/>
      <c r="AF160" s="174"/>
      <c r="AG160" s="174"/>
      <c r="AH160" s="174"/>
      <c r="AI160" s="174"/>
      <c r="AJ160" s="174"/>
      <c r="AK160" s="174"/>
      <c r="AL160" s="174"/>
      <c r="AM160" s="174"/>
      <c r="AN160" s="174"/>
      <c r="AO160" s="174"/>
      <c r="AP160" s="174"/>
      <c r="AQ160" s="174"/>
      <c r="AR160" s="174"/>
      <c r="AS160" s="174"/>
      <c r="AT160" s="174"/>
      <c r="AU160" s="174"/>
      <c r="AV160" s="174"/>
      <c r="AW160" s="174"/>
      <c r="AX160" s="174"/>
      <c r="AY160" s="174"/>
      <c r="AZ160" s="174"/>
      <c r="BA160" s="174"/>
      <c r="BB160" s="174"/>
      <c r="BC160" s="174"/>
      <c r="BD160" s="174"/>
      <c r="BE160" s="174"/>
      <c r="BF160" s="174"/>
      <c r="BG160" s="174"/>
      <c r="BH160" s="174"/>
      <c r="BI160" s="174"/>
      <c r="BJ160" s="174"/>
      <c r="BK160" s="174"/>
      <c r="BL160" s="174"/>
      <c r="BM160" s="174"/>
      <c r="BN160" s="174"/>
      <c r="BO160" s="174"/>
      <c r="BP160" s="174"/>
    </row>
    <row r="161" spans="1:68" s="23" customFormat="1" ht="13.5" thickBot="1">
      <c r="A161" s="169">
        <v>4</v>
      </c>
      <c r="B161" s="170" t="b">
        <f>IF(D161+E161=2,4,FALSE)</f>
        <v>0</v>
      </c>
      <c r="C161" s="171"/>
      <c r="D161" s="23">
        <f>IF(B83&gt;=56,1,0)</f>
        <v>0</v>
      </c>
      <c r="E161" s="23">
        <f>IF(B83&lt;63,1,0)</f>
        <v>1</v>
      </c>
      <c r="G161" s="184">
        <v>4</v>
      </c>
      <c r="H161" s="185" t="b">
        <f>IF(J161+K161=2,4,FALSE)</f>
        <v>0</v>
      </c>
      <c r="I161" s="186"/>
      <c r="J161" s="174">
        <f>IF(H83&lt;=0.63,1,0)</f>
        <v>1</v>
      </c>
      <c r="K161" s="174">
        <f>IF(H83&gt;0.58,1,0)</f>
        <v>0</v>
      </c>
      <c r="L161" s="174"/>
      <c r="M161" s="187"/>
      <c r="N161" s="188"/>
      <c r="O161" s="174"/>
      <c r="P161" s="174"/>
      <c r="Q161" s="174"/>
      <c r="R161" s="174"/>
      <c r="S161" s="187"/>
      <c r="T161" s="188"/>
      <c r="U161" s="174"/>
      <c r="V161" s="174"/>
      <c r="W161" s="174"/>
      <c r="X161" s="174"/>
      <c r="Y161" s="174"/>
      <c r="Z161" s="174"/>
      <c r="AA161" s="174"/>
      <c r="AB161" s="174"/>
      <c r="AC161" s="174"/>
      <c r="AD161" s="174"/>
      <c r="AE161" s="174"/>
      <c r="AF161" s="174"/>
      <c r="AG161" s="174"/>
      <c r="AH161" s="174"/>
      <c r="AI161" s="174"/>
      <c r="AJ161" s="174"/>
      <c r="AK161" s="174"/>
      <c r="AL161" s="174"/>
      <c r="AM161" s="174"/>
      <c r="AN161" s="174"/>
      <c r="AO161" s="174"/>
      <c r="AP161" s="174"/>
      <c r="AQ161" s="174"/>
      <c r="AR161" s="174"/>
      <c r="AS161" s="174"/>
      <c r="AT161" s="174"/>
      <c r="AU161" s="174"/>
      <c r="AV161" s="174"/>
      <c r="AW161" s="174"/>
      <c r="AX161" s="174"/>
      <c r="AY161" s="174"/>
      <c r="AZ161" s="174"/>
      <c r="BA161" s="174"/>
      <c r="BB161" s="174"/>
      <c r="BC161" s="174"/>
      <c r="BD161" s="174"/>
      <c r="BE161" s="174"/>
      <c r="BF161" s="174"/>
      <c r="BG161" s="174"/>
      <c r="BH161" s="174"/>
      <c r="BI161" s="174"/>
      <c r="BJ161" s="174"/>
      <c r="BK161" s="174"/>
      <c r="BL161" s="174"/>
      <c r="BM161" s="174"/>
      <c r="BN161" s="174"/>
      <c r="BO161" s="174"/>
      <c r="BP161" s="174"/>
    </row>
    <row r="162" spans="1:68" s="23" customFormat="1" ht="12.75">
      <c r="A162" s="163">
        <v>4.1</v>
      </c>
      <c r="B162" s="164" t="b">
        <f>IF(D162+E162=2,4.1,FALSE)</f>
        <v>0</v>
      </c>
      <c r="C162" s="165"/>
      <c r="D162" s="23">
        <f>IF(B83&gt;=63,1,0)</f>
        <v>0</v>
      </c>
      <c r="E162" s="23">
        <f>IF(B83&lt;71,1,0)</f>
        <v>1</v>
      </c>
      <c r="G162" s="178">
        <v>4.1</v>
      </c>
      <c r="H162" s="179" t="b">
        <f>IF(J162+K162=2,4.1,FALSE)</f>
        <v>0</v>
      </c>
      <c r="I162" s="180"/>
      <c r="J162" s="174">
        <f>IF(H83&lt;=0.58,1,0)</f>
        <v>1</v>
      </c>
      <c r="K162" s="174">
        <f>IF(H83&gt;0.53,1,0)</f>
        <v>0</v>
      </c>
      <c r="L162" s="174"/>
      <c r="M162" s="187"/>
      <c r="N162" s="188"/>
      <c r="O162" s="174"/>
      <c r="P162" s="174"/>
      <c r="Q162" s="174"/>
      <c r="R162" s="174"/>
      <c r="S162" s="187"/>
      <c r="T162" s="188"/>
      <c r="U162" s="174"/>
      <c r="V162" s="174"/>
      <c r="W162" s="174"/>
      <c r="X162" s="174"/>
      <c r="Y162" s="174"/>
      <c r="Z162" s="174"/>
      <c r="AA162" s="174"/>
      <c r="AB162" s="174"/>
      <c r="AC162" s="174"/>
      <c r="AD162" s="174"/>
      <c r="AE162" s="174"/>
      <c r="AF162" s="174"/>
      <c r="AG162" s="174"/>
      <c r="AH162" s="174"/>
      <c r="AI162" s="174"/>
      <c r="AJ162" s="174"/>
      <c r="AK162" s="174"/>
      <c r="AL162" s="174"/>
      <c r="AM162" s="174"/>
      <c r="AN162" s="174"/>
      <c r="AO162" s="174"/>
      <c r="AP162" s="174"/>
      <c r="AQ162" s="174"/>
      <c r="AR162" s="174"/>
      <c r="AS162" s="174"/>
      <c r="AT162" s="174"/>
      <c r="AU162" s="174"/>
      <c r="AV162" s="174"/>
      <c r="AW162" s="174"/>
      <c r="AX162" s="174"/>
      <c r="AY162" s="174"/>
      <c r="AZ162" s="174"/>
      <c r="BA162" s="174"/>
      <c r="BB162" s="174"/>
      <c r="BC162" s="174"/>
      <c r="BD162" s="174"/>
      <c r="BE162" s="174"/>
      <c r="BF162" s="174"/>
      <c r="BG162" s="174"/>
      <c r="BH162" s="174"/>
      <c r="BI162" s="174"/>
      <c r="BJ162" s="174"/>
      <c r="BK162" s="174"/>
      <c r="BL162" s="174"/>
      <c r="BM162" s="174"/>
      <c r="BN162" s="174"/>
      <c r="BO162" s="174"/>
      <c r="BP162" s="174"/>
    </row>
    <row r="163" spans="1:68" s="23" customFormat="1" ht="12.75">
      <c r="A163" s="166">
        <v>4.2</v>
      </c>
      <c r="B163" s="167" t="b">
        <f>IF(D163+E163=2,4.2,FALSE)</f>
        <v>0</v>
      </c>
      <c r="C163" s="168"/>
      <c r="D163" s="23">
        <f>IF(B83&gt;=71,1,0)</f>
        <v>0</v>
      </c>
      <c r="E163" s="23">
        <f>IF(B83&lt;80,1,0)</f>
        <v>1</v>
      </c>
      <c r="G163" s="181">
        <v>4.2</v>
      </c>
      <c r="H163" s="182" t="b">
        <f>IF(J163+K163=2,4.2,FALSE)</f>
        <v>0</v>
      </c>
      <c r="I163" s="183"/>
      <c r="J163" s="174">
        <f>IF(H83&lt;=0.53,1,0)</f>
        <v>1</v>
      </c>
      <c r="K163" s="174">
        <f>IF(H83&gt;0.48,1,0)</f>
        <v>0</v>
      </c>
      <c r="L163" s="174"/>
      <c r="M163" s="187"/>
      <c r="N163" s="188"/>
      <c r="O163" s="174"/>
      <c r="P163" s="174"/>
      <c r="Q163" s="174"/>
      <c r="R163" s="174"/>
      <c r="S163" s="187"/>
      <c r="T163" s="188"/>
      <c r="U163" s="174"/>
      <c r="V163" s="174"/>
      <c r="W163" s="174"/>
      <c r="X163" s="174"/>
      <c r="Y163" s="174"/>
      <c r="Z163" s="174"/>
      <c r="AA163" s="174"/>
      <c r="AB163" s="174"/>
      <c r="AC163" s="174"/>
      <c r="AD163" s="174"/>
      <c r="AE163" s="174"/>
      <c r="AF163" s="174"/>
      <c r="AG163" s="174"/>
      <c r="AH163" s="174"/>
      <c r="AI163" s="174"/>
      <c r="AJ163" s="174"/>
      <c r="AK163" s="174"/>
      <c r="AL163" s="174"/>
      <c r="AM163" s="174"/>
      <c r="AN163" s="174"/>
      <c r="AO163" s="174"/>
      <c r="AP163" s="174"/>
      <c r="AQ163" s="174"/>
      <c r="AR163" s="174"/>
      <c r="AS163" s="174"/>
      <c r="AT163" s="174"/>
      <c r="AU163" s="174"/>
      <c r="AV163" s="174"/>
      <c r="AW163" s="174"/>
      <c r="AX163" s="174"/>
      <c r="AY163" s="174"/>
      <c r="AZ163" s="174"/>
      <c r="BA163" s="174"/>
      <c r="BB163" s="174"/>
      <c r="BC163" s="174"/>
      <c r="BD163" s="174"/>
      <c r="BE163" s="174"/>
      <c r="BF163" s="174"/>
      <c r="BG163" s="174"/>
      <c r="BH163" s="174"/>
      <c r="BI163" s="174"/>
      <c r="BJ163" s="174"/>
      <c r="BK163" s="174"/>
      <c r="BL163" s="174"/>
      <c r="BM163" s="174"/>
      <c r="BN163" s="174"/>
      <c r="BO163" s="174"/>
      <c r="BP163" s="174"/>
    </row>
    <row r="164" spans="1:68" s="23" customFormat="1" ht="12.75">
      <c r="A164" s="166">
        <v>4.3</v>
      </c>
      <c r="B164" s="167" t="b">
        <f>IF(D164+E164=2,4.3,FALSE)</f>
        <v>0</v>
      </c>
      <c r="C164" s="168"/>
      <c r="D164" s="23">
        <f>IF(B83&gt;=80,1,0)</f>
        <v>0</v>
      </c>
      <c r="E164" s="23">
        <f>IF(B83&lt;89,1,0)</f>
        <v>1</v>
      </c>
      <c r="G164" s="181">
        <v>4.3</v>
      </c>
      <c r="H164" s="182" t="b">
        <f>IF(J164+K164=2,4.3,FALSE)</f>
        <v>0</v>
      </c>
      <c r="I164" s="183"/>
      <c r="J164" s="174">
        <f>IF(H83&lt;=0.48,1,0)</f>
        <v>1</v>
      </c>
      <c r="K164" s="174">
        <f>IF(H83&gt;0.44,1,0)</f>
        <v>0</v>
      </c>
      <c r="L164" s="174"/>
      <c r="M164" s="187"/>
      <c r="N164" s="188"/>
      <c r="O164" s="174"/>
      <c r="P164" s="174"/>
      <c r="Q164" s="174"/>
      <c r="R164" s="174"/>
      <c r="S164" s="187"/>
      <c r="T164" s="188"/>
      <c r="U164" s="174"/>
      <c r="V164" s="174"/>
      <c r="W164" s="174"/>
      <c r="X164" s="174"/>
      <c r="Y164" s="174"/>
      <c r="Z164" s="174"/>
      <c r="AA164" s="174"/>
      <c r="AB164" s="174"/>
      <c r="AC164" s="174"/>
      <c r="AD164" s="174"/>
      <c r="AE164" s="174"/>
      <c r="AF164" s="174"/>
      <c r="AG164" s="174"/>
      <c r="AH164" s="174"/>
      <c r="AI164" s="174"/>
      <c r="AJ164" s="174"/>
      <c r="AK164" s="174"/>
      <c r="AL164" s="174"/>
      <c r="AM164" s="174"/>
      <c r="AN164" s="174"/>
      <c r="AO164" s="174"/>
      <c r="AP164" s="174"/>
      <c r="AQ164" s="174"/>
      <c r="AR164" s="174"/>
      <c r="AS164" s="174"/>
      <c r="AT164" s="174"/>
      <c r="AU164" s="174"/>
      <c r="AV164" s="174"/>
      <c r="AW164" s="174"/>
      <c r="AX164" s="174"/>
      <c r="AY164" s="174"/>
      <c r="AZ164" s="174"/>
      <c r="BA164" s="174"/>
      <c r="BB164" s="174"/>
      <c r="BC164" s="174"/>
      <c r="BD164" s="174"/>
      <c r="BE164" s="174"/>
      <c r="BF164" s="174"/>
      <c r="BG164" s="174"/>
      <c r="BH164" s="174"/>
      <c r="BI164" s="174"/>
      <c r="BJ164" s="174"/>
      <c r="BK164" s="174"/>
      <c r="BL164" s="174"/>
      <c r="BM164" s="174"/>
      <c r="BN164" s="174"/>
      <c r="BO164" s="174"/>
      <c r="BP164" s="174"/>
    </row>
    <row r="165" spans="1:68" s="23" customFormat="1" ht="12.75">
      <c r="A165" s="166">
        <v>4.4</v>
      </c>
      <c r="B165" s="167" t="b">
        <f>IF(D165+E165=2,4.4,FALSE)</f>
        <v>0</v>
      </c>
      <c r="C165" s="168"/>
      <c r="D165" s="23">
        <f>IF(B83&gt;=89,1,0)</f>
        <v>0</v>
      </c>
      <c r="E165" s="23">
        <f>IF(B83&lt;99,1,0)</f>
        <v>1</v>
      </c>
      <c r="G165" s="181">
        <v>4.4</v>
      </c>
      <c r="H165" s="182" t="b">
        <f>IF(J165+K165=2,4.4,FALSE)</f>
        <v>0</v>
      </c>
      <c r="I165" s="183"/>
      <c r="J165" s="174">
        <f>IF(H83&lt;=0.44,1,0)</f>
        <v>1</v>
      </c>
      <c r="K165" s="174">
        <f>IF(H83&gt;0.44,1,0)</f>
        <v>0</v>
      </c>
      <c r="L165" s="174"/>
      <c r="M165" s="187"/>
      <c r="N165" s="188"/>
      <c r="O165" s="174"/>
      <c r="P165" s="174"/>
      <c r="Q165" s="174"/>
      <c r="R165" s="174"/>
      <c r="S165" s="187"/>
      <c r="T165" s="188"/>
      <c r="U165" s="174"/>
      <c r="V165" s="174"/>
      <c r="W165" s="174"/>
      <c r="X165" s="174"/>
      <c r="Y165" s="174"/>
      <c r="Z165" s="174"/>
      <c r="AA165" s="174"/>
      <c r="AB165" s="174"/>
      <c r="AC165" s="174"/>
      <c r="AD165" s="174"/>
      <c r="AE165" s="174"/>
      <c r="AF165" s="174"/>
      <c r="AG165" s="174"/>
      <c r="AH165" s="174"/>
      <c r="AI165" s="174"/>
      <c r="AJ165" s="174"/>
      <c r="AK165" s="174"/>
      <c r="AL165" s="174"/>
      <c r="AM165" s="174"/>
      <c r="AN165" s="174"/>
      <c r="AO165" s="174"/>
      <c r="AP165" s="174"/>
      <c r="AQ165" s="174"/>
      <c r="AR165" s="174"/>
      <c r="AS165" s="174"/>
      <c r="AT165" s="174"/>
      <c r="AU165" s="174"/>
      <c r="AV165" s="174"/>
      <c r="AW165" s="174"/>
      <c r="AX165" s="174"/>
      <c r="AY165" s="174"/>
      <c r="AZ165" s="174"/>
      <c r="BA165" s="174"/>
      <c r="BB165" s="174"/>
      <c r="BC165" s="174"/>
      <c r="BD165" s="174"/>
      <c r="BE165" s="174"/>
      <c r="BF165" s="174"/>
      <c r="BG165" s="174"/>
      <c r="BH165" s="174"/>
      <c r="BI165" s="174"/>
      <c r="BJ165" s="174"/>
      <c r="BK165" s="174"/>
      <c r="BL165" s="174"/>
      <c r="BM165" s="174"/>
      <c r="BN165" s="174"/>
      <c r="BO165" s="174"/>
      <c r="BP165" s="174"/>
    </row>
    <row r="166" spans="1:68" s="23" customFormat="1" ht="13.5" thickBot="1">
      <c r="A166" s="169">
        <v>4.5</v>
      </c>
      <c r="B166" s="170" t="b">
        <f>IF(D166+E166=2,4.5,FALSE)</f>
        <v>0</v>
      </c>
      <c r="C166" s="171"/>
      <c r="D166" s="23">
        <f>IF(B83&gt;=99,1,0)</f>
        <v>0</v>
      </c>
      <c r="E166" s="23">
        <f>IF(B83&gt;=99,1,0)</f>
        <v>0</v>
      </c>
      <c r="G166" s="184">
        <v>4.5</v>
      </c>
      <c r="H166" s="185">
        <f>IF(J166+K166=2,4.5,FALSE)</f>
        <v>4.5</v>
      </c>
      <c r="I166" s="186"/>
      <c r="J166" s="174">
        <f>IF(H83&lt;=0.4,1,0)</f>
        <v>1</v>
      </c>
      <c r="K166" s="174">
        <f>IF(H83&lt;0.4,1,0)</f>
        <v>1</v>
      </c>
      <c r="L166" s="174"/>
      <c r="M166" s="187"/>
      <c r="N166" s="188"/>
      <c r="O166" s="174"/>
      <c r="P166" s="174"/>
      <c r="Q166" s="174"/>
      <c r="R166" s="174"/>
      <c r="S166" s="187"/>
      <c r="T166" s="188"/>
      <c r="U166" s="174"/>
      <c r="V166" s="174"/>
      <c r="W166" s="174"/>
      <c r="X166" s="174"/>
      <c r="Y166" s="174"/>
      <c r="Z166" s="174"/>
      <c r="AA166" s="174"/>
      <c r="AB166" s="174"/>
      <c r="AC166" s="174"/>
      <c r="AD166" s="174"/>
      <c r="AE166" s="174"/>
      <c r="AF166" s="174"/>
      <c r="AG166" s="174"/>
      <c r="AH166" s="174"/>
      <c r="AI166" s="174"/>
      <c r="AJ166" s="174"/>
      <c r="AK166" s="174"/>
      <c r="AL166" s="174"/>
      <c r="AM166" s="174"/>
      <c r="AN166" s="174"/>
      <c r="AO166" s="174"/>
      <c r="AP166" s="174"/>
      <c r="AQ166" s="174"/>
      <c r="AR166" s="174"/>
      <c r="AS166" s="174"/>
      <c r="AT166" s="174"/>
      <c r="AU166" s="174"/>
      <c r="AV166" s="174"/>
      <c r="AW166" s="174"/>
      <c r="AX166" s="174"/>
      <c r="AY166" s="174"/>
      <c r="AZ166" s="174"/>
      <c r="BA166" s="174"/>
      <c r="BB166" s="174"/>
      <c r="BC166" s="174"/>
      <c r="BD166" s="174"/>
      <c r="BE166" s="174"/>
      <c r="BF166" s="174"/>
      <c r="BG166" s="174"/>
      <c r="BH166" s="174"/>
      <c r="BI166" s="174"/>
      <c r="BJ166" s="174"/>
      <c r="BK166" s="174"/>
      <c r="BL166" s="174"/>
      <c r="BM166" s="174"/>
      <c r="BN166" s="174"/>
      <c r="BO166" s="174"/>
      <c r="BP166" s="174"/>
    </row>
    <row r="167" spans="1:68" s="23" customFormat="1" ht="12.75">
      <c r="A167" s="172"/>
      <c r="B167" s="173"/>
      <c r="G167" s="187"/>
      <c r="H167" s="188"/>
      <c r="I167" s="174"/>
      <c r="J167" s="174"/>
      <c r="K167" s="174"/>
      <c r="L167" s="174"/>
      <c r="M167" s="187"/>
      <c r="N167" s="188"/>
      <c r="O167" s="174"/>
      <c r="P167" s="174"/>
      <c r="Q167" s="174"/>
      <c r="R167" s="174"/>
      <c r="S167" s="187"/>
      <c r="T167" s="188"/>
      <c r="U167" s="174"/>
      <c r="V167" s="174"/>
      <c r="W167" s="174"/>
      <c r="X167" s="174"/>
      <c r="Y167" s="174"/>
      <c r="Z167" s="174"/>
      <c r="AA167" s="174"/>
      <c r="AB167" s="174"/>
      <c r="AC167" s="174"/>
      <c r="AD167" s="174"/>
      <c r="AE167" s="174"/>
      <c r="AF167" s="174"/>
      <c r="AG167" s="174"/>
      <c r="AH167" s="174"/>
      <c r="AI167" s="174"/>
      <c r="AJ167" s="174"/>
      <c r="AK167" s="174"/>
      <c r="AL167" s="174"/>
      <c r="AM167" s="174"/>
      <c r="AN167" s="174"/>
      <c r="AO167" s="174"/>
      <c r="AP167" s="174"/>
      <c r="AQ167" s="174"/>
      <c r="AR167" s="174"/>
      <c r="AS167" s="174"/>
      <c r="AT167" s="174"/>
      <c r="AU167" s="174"/>
      <c r="AV167" s="174"/>
      <c r="AW167" s="174"/>
      <c r="AX167" s="174"/>
      <c r="AY167" s="174"/>
      <c r="AZ167" s="174"/>
      <c r="BA167" s="174"/>
      <c r="BB167" s="174"/>
      <c r="BC167" s="174"/>
      <c r="BD167" s="174"/>
      <c r="BE167" s="174"/>
      <c r="BF167" s="174"/>
      <c r="BG167" s="174"/>
      <c r="BH167" s="174"/>
      <c r="BI167" s="174"/>
      <c r="BJ167" s="174"/>
      <c r="BK167" s="174"/>
      <c r="BL167" s="174"/>
      <c r="BM167" s="174"/>
      <c r="BN167" s="174"/>
      <c r="BO167" s="174"/>
      <c r="BP167" s="174"/>
    </row>
    <row r="168" spans="1:68" s="23" customFormat="1" ht="12.75">
      <c r="A168" s="172"/>
      <c r="B168" s="173"/>
      <c r="G168" s="187"/>
      <c r="H168" s="188"/>
      <c r="I168" s="174"/>
      <c r="J168" s="174"/>
      <c r="K168" s="174"/>
      <c r="L168" s="174"/>
      <c r="M168" s="187"/>
      <c r="N168" s="188"/>
      <c r="O168" s="174"/>
      <c r="P168" s="174"/>
      <c r="Q168" s="174"/>
      <c r="R168" s="174"/>
      <c r="S168" s="187"/>
      <c r="T168" s="188"/>
      <c r="U168" s="174"/>
      <c r="V168" s="174"/>
      <c r="W168" s="174"/>
      <c r="X168" s="174"/>
      <c r="Y168" s="174"/>
      <c r="Z168" s="174"/>
      <c r="AA168" s="174"/>
      <c r="AB168" s="174"/>
      <c r="AC168" s="174"/>
      <c r="AD168" s="174"/>
      <c r="AE168" s="174"/>
      <c r="AF168" s="174"/>
      <c r="AG168" s="174"/>
      <c r="AH168" s="174"/>
      <c r="AI168" s="174"/>
      <c r="AJ168" s="174"/>
      <c r="AK168" s="174"/>
      <c r="AL168" s="174"/>
      <c r="AM168" s="174"/>
      <c r="AN168" s="174"/>
      <c r="AO168" s="174"/>
      <c r="AP168" s="174"/>
      <c r="AQ168" s="174"/>
      <c r="AR168" s="174"/>
      <c r="AS168" s="174"/>
      <c r="AT168" s="174"/>
      <c r="AU168" s="174"/>
      <c r="AV168" s="174"/>
      <c r="AW168" s="174"/>
      <c r="AX168" s="174"/>
      <c r="AY168" s="174"/>
      <c r="AZ168" s="174"/>
      <c r="BA168" s="174"/>
      <c r="BB168" s="174"/>
      <c r="BC168" s="174"/>
      <c r="BD168" s="174"/>
      <c r="BE168" s="174"/>
      <c r="BF168" s="174"/>
      <c r="BG168" s="174"/>
      <c r="BH168" s="174"/>
      <c r="BI168" s="174"/>
      <c r="BJ168" s="174"/>
      <c r="BK168" s="174"/>
      <c r="BL168" s="174"/>
      <c r="BM168" s="174"/>
      <c r="BN168" s="174"/>
      <c r="BO168" s="174"/>
      <c r="BP168" s="174"/>
    </row>
    <row r="169" spans="1:68" s="23" customFormat="1" ht="12.75">
      <c r="A169" s="172"/>
      <c r="B169" s="173"/>
      <c r="G169" s="187"/>
      <c r="H169" s="188"/>
      <c r="I169" s="174"/>
      <c r="J169" s="174"/>
      <c r="K169" s="174"/>
      <c r="L169" s="174"/>
      <c r="M169" s="187"/>
      <c r="N169" s="188"/>
      <c r="O169" s="174"/>
      <c r="P169" s="174"/>
      <c r="Q169" s="174"/>
      <c r="R169" s="174"/>
      <c r="S169" s="187"/>
      <c r="T169" s="188"/>
      <c r="U169" s="174"/>
      <c r="V169" s="174"/>
      <c r="W169" s="174"/>
      <c r="X169" s="174"/>
      <c r="Y169" s="174"/>
      <c r="Z169" s="174"/>
      <c r="AA169" s="174"/>
      <c r="AB169" s="174"/>
      <c r="AC169" s="174"/>
      <c r="AD169" s="174"/>
      <c r="AE169" s="174"/>
      <c r="AF169" s="174"/>
      <c r="AG169" s="174"/>
      <c r="AH169" s="174"/>
      <c r="AI169" s="174"/>
      <c r="AJ169" s="174"/>
      <c r="AK169" s="174"/>
      <c r="AL169" s="174"/>
      <c r="AM169" s="174"/>
      <c r="AN169" s="174"/>
      <c r="AO169" s="174"/>
      <c r="AP169" s="174"/>
      <c r="AQ169" s="174"/>
      <c r="AR169" s="174"/>
      <c r="AS169" s="174"/>
      <c r="AT169" s="174"/>
      <c r="AU169" s="174"/>
      <c r="AV169" s="174"/>
      <c r="AW169" s="174"/>
      <c r="AX169" s="174"/>
      <c r="AY169" s="174"/>
      <c r="AZ169" s="174"/>
      <c r="BA169" s="174"/>
      <c r="BB169" s="174"/>
      <c r="BC169" s="174"/>
      <c r="BD169" s="174"/>
      <c r="BE169" s="174"/>
      <c r="BF169" s="174"/>
      <c r="BG169" s="174"/>
      <c r="BH169" s="174"/>
      <c r="BI169" s="174"/>
      <c r="BJ169" s="174"/>
      <c r="BK169" s="174"/>
      <c r="BL169" s="174"/>
      <c r="BM169" s="174"/>
      <c r="BN169" s="174"/>
      <c r="BO169" s="174"/>
      <c r="BP169" s="174"/>
    </row>
    <row r="170" spans="1:68" s="23" customFormat="1" ht="12.75">
      <c r="A170" s="172"/>
      <c r="B170" s="173"/>
      <c r="G170" s="187"/>
      <c r="H170" s="188"/>
      <c r="I170" s="174"/>
      <c r="J170" s="174"/>
      <c r="K170" s="174"/>
      <c r="L170" s="174"/>
      <c r="M170" s="187"/>
      <c r="N170" s="188"/>
      <c r="O170" s="174"/>
      <c r="P170" s="174"/>
      <c r="Q170" s="174"/>
      <c r="R170" s="174"/>
      <c r="S170" s="187"/>
      <c r="T170" s="188"/>
      <c r="U170" s="174"/>
      <c r="V170" s="174"/>
      <c r="W170" s="174"/>
      <c r="X170" s="174"/>
      <c r="Y170" s="174"/>
      <c r="Z170" s="174"/>
      <c r="AA170" s="174"/>
      <c r="AB170" s="174"/>
      <c r="AC170" s="174"/>
      <c r="AD170" s="174"/>
      <c r="AE170" s="174"/>
      <c r="AF170" s="174"/>
      <c r="AG170" s="174"/>
      <c r="AH170" s="174"/>
      <c r="AI170" s="174"/>
      <c r="AJ170" s="174"/>
      <c r="AK170" s="174"/>
      <c r="AL170" s="174"/>
      <c r="AM170" s="174"/>
      <c r="AN170" s="174"/>
      <c r="AO170" s="174"/>
      <c r="AP170" s="174"/>
      <c r="AQ170" s="174"/>
      <c r="AR170" s="174"/>
      <c r="AS170" s="174"/>
      <c r="AT170" s="174"/>
      <c r="AU170" s="174"/>
      <c r="AV170" s="174"/>
      <c r="AW170" s="174"/>
      <c r="AX170" s="174"/>
      <c r="AY170" s="174"/>
      <c r="AZ170" s="174"/>
      <c r="BA170" s="174"/>
      <c r="BB170" s="174"/>
      <c r="BC170" s="174"/>
      <c r="BD170" s="174"/>
      <c r="BE170" s="174"/>
      <c r="BF170" s="174"/>
      <c r="BG170" s="174"/>
      <c r="BH170" s="174"/>
      <c r="BI170" s="174"/>
      <c r="BJ170" s="174"/>
      <c r="BK170" s="174"/>
      <c r="BL170" s="174"/>
      <c r="BM170" s="174"/>
      <c r="BN170" s="174"/>
      <c r="BO170" s="174"/>
      <c r="BP170" s="174"/>
    </row>
    <row r="171" spans="1:68" s="23" customFormat="1" ht="12.75">
      <c r="A171" s="172"/>
      <c r="B171" s="173"/>
      <c r="G171" s="187"/>
      <c r="H171" s="188"/>
      <c r="I171" s="174"/>
      <c r="J171" s="174"/>
      <c r="K171" s="174"/>
      <c r="L171" s="174"/>
      <c r="M171" s="187"/>
      <c r="N171" s="188"/>
      <c r="O171" s="174"/>
      <c r="P171" s="174"/>
      <c r="Q171" s="174"/>
      <c r="R171" s="174"/>
      <c r="S171" s="187"/>
      <c r="T171" s="188"/>
      <c r="U171" s="174"/>
      <c r="V171" s="174"/>
      <c r="W171" s="174"/>
      <c r="X171" s="174"/>
      <c r="Y171" s="174"/>
      <c r="Z171" s="174"/>
      <c r="AA171" s="174"/>
      <c r="AB171" s="174"/>
      <c r="AC171" s="174"/>
      <c r="AD171" s="174"/>
      <c r="AE171" s="174"/>
      <c r="AF171" s="174"/>
      <c r="AG171" s="174"/>
      <c r="AH171" s="174"/>
      <c r="AI171" s="174"/>
      <c r="AJ171" s="174"/>
      <c r="AK171" s="174"/>
      <c r="AL171" s="174"/>
      <c r="AM171" s="174"/>
      <c r="AN171" s="174"/>
      <c r="AO171" s="174"/>
      <c r="AP171" s="174"/>
      <c r="AQ171" s="174"/>
      <c r="AR171" s="174"/>
      <c r="AS171" s="174"/>
      <c r="AT171" s="174"/>
      <c r="AU171" s="174"/>
      <c r="AV171" s="174"/>
      <c r="AW171" s="174"/>
      <c r="AX171" s="174"/>
      <c r="AY171" s="174"/>
      <c r="AZ171" s="174"/>
      <c r="BA171" s="174"/>
      <c r="BB171" s="174"/>
      <c r="BC171" s="174"/>
      <c r="BD171" s="174"/>
      <c r="BE171" s="174"/>
      <c r="BF171" s="174"/>
      <c r="BG171" s="174"/>
      <c r="BH171" s="174"/>
      <c r="BI171" s="174"/>
      <c r="BJ171" s="174"/>
      <c r="BK171" s="174"/>
      <c r="BL171" s="174"/>
      <c r="BM171" s="174"/>
      <c r="BN171" s="174"/>
      <c r="BO171" s="174"/>
      <c r="BP171" s="174"/>
    </row>
    <row r="172" spans="1:68" s="23" customFormat="1" ht="12.75">
      <c r="A172" s="172"/>
      <c r="B172" s="173"/>
      <c r="G172" s="187"/>
      <c r="H172" s="188"/>
      <c r="I172" s="174"/>
      <c r="J172" s="174"/>
      <c r="K172" s="174"/>
      <c r="L172" s="174"/>
      <c r="M172" s="187"/>
      <c r="N172" s="188"/>
      <c r="O172" s="174"/>
      <c r="P172" s="174"/>
      <c r="Q172" s="174"/>
      <c r="R172" s="174"/>
      <c r="S172" s="187"/>
      <c r="T172" s="188"/>
      <c r="U172" s="174"/>
      <c r="V172" s="174"/>
      <c r="W172" s="174"/>
      <c r="X172" s="174"/>
      <c r="Y172" s="174"/>
      <c r="Z172" s="174"/>
      <c r="AA172" s="174"/>
      <c r="AB172" s="174"/>
      <c r="AC172" s="174"/>
      <c r="AD172" s="174"/>
      <c r="AE172" s="174"/>
      <c r="AF172" s="174"/>
      <c r="AG172" s="174"/>
      <c r="AH172" s="174"/>
      <c r="AI172" s="174"/>
      <c r="AJ172" s="174"/>
      <c r="AK172" s="174"/>
      <c r="AL172" s="174"/>
      <c r="AM172" s="174"/>
      <c r="AN172" s="174"/>
      <c r="AO172" s="174"/>
      <c r="AP172" s="174"/>
      <c r="AQ172" s="174"/>
      <c r="AR172" s="174"/>
      <c r="AS172" s="174"/>
      <c r="AT172" s="174"/>
      <c r="AU172" s="174"/>
      <c r="AV172" s="174"/>
      <c r="AW172" s="174"/>
      <c r="AX172" s="174"/>
      <c r="AY172" s="174"/>
      <c r="AZ172" s="174"/>
      <c r="BA172" s="174"/>
      <c r="BB172" s="174"/>
      <c r="BC172" s="174"/>
      <c r="BD172" s="174"/>
      <c r="BE172" s="174"/>
      <c r="BF172" s="174"/>
      <c r="BG172" s="174"/>
      <c r="BH172" s="174"/>
      <c r="BI172" s="174"/>
      <c r="BJ172" s="174"/>
      <c r="BK172" s="174"/>
      <c r="BL172" s="174"/>
      <c r="BM172" s="174"/>
      <c r="BN172" s="174"/>
      <c r="BO172" s="174"/>
      <c r="BP172" s="174"/>
    </row>
    <row r="173" spans="1:68" s="23" customFormat="1" ht="12.75">
      <c r="A173" s="172"/>
      <c r="B173" s="173"/>
      <c r="G173" s="187"/>
      <c r="H173" s="188"/>
      <c r="I173" s="174"/>
      <c r="J173" s="174"/>
      <c r="K173" s="174"/>
      <c r="L173" s="174"/>
      <c r="M173" s="187"/>
      <c r="N173" s="188"/>
      <c r="O173" s="174"/>
      <c r="P173" s="174"/>
      <c r="Q173" s="174"/>
      <c r="R173" s="174"/>
      <c r="S173" s="187"/>
      <c r="T173" s="188"/>
      <c r="U173" s="174"/>
      <c r="V173" s="174"/>
      <c r="W173" s="174"/>
      <c r="X173" s="174"/>
      <c r="Y173" s="174"/>
      <c r="Z173" s="174"/>
      <c r="AA173" s="174"/>
      <c r="AB173" s="174"/>
      <c r="AC173" s="174"/>
      <c r="AD173" s="174"/>
      <c r="AE173" s="174"/>
      <c r="AF173" s="174"/>
      <c r="AG173" s="174"/>
      <c r="AH173" s="174"/>
      <c r="AI173" s="174"/>
      <c r="AJ173" s="174"/>
      <c r="AK173" s="174"/>
      <c r="AL173" s="174"/>
      <c r="AM173" s="174"/>
      <c r="AN173" s="174"/>
      <c r="AO173" s="174"/>
      <c r="AP173" s="174"/>
      <c r="AQ173" s="174"/>
      <c r="AR173" s="174"/>
      <c r="AS173" s="174"/>
      <c r="AT173" s="174"/>
      <c r="AU173" s="174"/>
      <c r="AV173" s="174"/>
      <c r="AW173" s="174"/>
      <c r="AX173" s="174"/>
      <c r="AY173" s="174"/>
      <c r="AZ173" s="174"/>
      <c r="BA173" s="174"/>
      <c r="BB173" s="174"/>
      <c r="BC173" s="174"/>
      <c r="BD173" s="174"/>
      <c r="BE173" s="174"/>
      <c r="BF173" s="174"/>
      <c r="BG173" s="174"/>
      <c r="BH173" s="174"/>
      <c r="BI173" s="174"/>
      <c r="BJ173" s="174"/>
      <c r="BK173" s="174"/>
      <c r="BL173" s="174"/>
      <c r="BM173" s="174"/>
      <c r="BN173" s="174"/>
      <c r="BO173" s="174"/>
      <c r="BP173" s="174"/>
    </row>
    <row r="174" spans="1:68" s="23" customFormat="1" ht="12.75">
      <c r="A174" s="172"/>
      <c r="B174" s="173"/>
      <c r="G174" s="187"/>
      <c r="H174" s="188"/>
      <c r="I174" s="174"/>
      <c r="J174" s="174"/>
      <c r="K174" s="174"/>
      <c r="L174" s="174"/>
      <c r="M174" s="187"/>
      <c r="N174" s="188"/>
      <c r="O174" s="174"/>
      <c r="P174" s="174"/>
      <c r="Q174" s="174"/>
      <c r="R174" s="174"/>
      <c r="S174" s="187"/>
      <c r="T174" s="188"/>
      <c r="U174" s="174"/>
      <c r="V174" s="174"/>
      <c r="W174" s="174"/>
      <c r="X174" s="174"/>
      <c r="Y174" s="174"/>
      <c r="Z174" s="174"/>
      <c r="AA174" s="174"/>
      <c r="AB174" s="174"/>
      <c r="AC174" s="174"/>
      <c r="AD174" s="174"/>
      <c r="AE174" s="174"/>
      <c r="AF174" s="174"/>
      <c r="AG174" s="174"/>
      <c r="AH174" s="174"/>
      <c r="AI174" s="174"/>
      <c r="AJ174" s="174"/>
      <c r="AK174" s="174"/>
      <c r="AL174" s="174"/>
      <c r="AM174" s="174"/>
      <c r="AN174" s="174"/>
      <c r="AO174" s="174"/>
      <c r="AP174" s="174"/>
      <c r="AQ174" s="174"/>
      <c r="AR174" s="174"/>
      <c r="AS174" s="174"/>
      <c r="AT174" s="174"/>
      <c r="AU174" s="174"/>
      <c r="AV174" s="174"/>
      <c r="AW174" s="174"/>
      <c r="AX174" s="174"/>
      <c r="AY174" s="174"/>
      <c r="AZ174" s="174"/>
      <c r="BA174" s="174"/>
      <c r="BB174" s="174"/>
      <c r="BC174" s="174"/>
      <c r="BD174" s="174"/>
      <c r="BE174" s="174"/>
      <c r="BF174" s="174"/>
      <c r="BG174" s="174"/>
      <c r="BH174" s="174"/>
      <c r="BI174" s="174"/>
      <c r="BJ174" s="174"/>
      <c r="BK174" s="174"/>
      <c r="BL174" s="174"/>
      <c r="BM174" s="174"/>
      <c r="BN174" s="174"/>
      <c r="BO174" s="174"/>
      <c r="BP174" s="174"/>
    </row>
    <row r="175" spans="1:68" s="23" customFormat="1" ht="12.75">
      <c r="A175" s="172"/>
      <c r="B175" s="173"/>
      <c r="G175" s="187"/>
      <c r="H175" s="188"/>
      <c r="I175" s="174"/>
      <c r="J175" s="174"/>
      <c r="K175" s="174"/>
      <c r="L175" s="174"/>
      <c r="M175" s="187"/>
      <c r="N175" s="188"/>
      <c r="O175" s="174"/>
      <c r="P175" s="174"/>
      <c r="Q175" s="174"/>
      <c r="R175" s="174"/>
      <c r="S175" s="187"/>
      <c r="T175" s="188"/>
      <c r="U175" s="174"/>
      <c r="V175" s="174"/>
      <c r="W175" s="174"/>
      <c r="X175" s="174"/>
      <c r="Y175" s="174"/>
      <c r="Z175" s="174"/>
      <c r="AA175" s="174"/>
      <c r="AB175" s="174"/>
      <c r="AC175" s="174"/>
      <c r="AD175" s="174"/>
      <c r="AE175" s="174"/>
      <c r="AF175" s="174"/>
      <c r="AG175" s="174"/>
      <c r="AH175" s="174"/>
      <c r="AI175" s="174"/>
      <c r="AJ175" s="174"/>
      <c r="AK175" s="174"/>
      <c r="AL175" s="174"/>
      <c r="AM175" s="174"/>
      <c r="AN175" s="174"/>
      <c r="AO175" s="174"/>
      <c r="AP175" s="174"/>
      <c r="AQ175" s="174"/>
      <c r="AR175" s="174"/>
      <c r="AS175" s="174"/>
      <c r="AT175" s="174"/>
      <c r="AU175" s="174"/>
      <c r="AV175" s="174"/>
      <c r="AW175" s="174"/>
      <c r="AX175" s="174"/>
      <c r="AY175" s="174"/>
      <c r="AZ175" s="174"/>
      <c r="BA175" s="174"/>
      <c r="BB175" s="174"/>
      <c r="BC175" s="174"/>
      <c r="BD175" s="174"/>
      <c r="BE175" s="174"/>
      <c r="BF175" s="174"/>
      <c r="BG175" s="174"/>
      <c r="BH175" s="174"/>
      <c r="BI175" s="174"/>
      <c r="BJ175" s="174"/>
      <c r="BK175" s="174"/>
      <c r="BL175" s="174"/>
      <c r="BM175" s="174"/>
      <c r="BN175" s="174"/>
      <c r="BO175" s="174"/>
      <c r="BP175" s="174"/>
    </row>
    <row r="176" spans="1:68" s="18" customFormat="1" ht="12.75">
      <c r="A176" s="20"/>
      <c r="B176" s="21"/>
      <c r="G176" s="187"/>
      <c r="H176" s="188"/>
      <c r="I176" s="174"/>
      <c r="J176" s="174"/>
      <c r="K176" s="174"/>
      <c r="L176" s="174"/>
      <c r="M176" s="187"/>
      <c r="N176" s="188"/>
      <c r="O176" s="174"/>
      <c r="P176" s="174"/>
      <c r="Q176" s="174"/>
      <c r="R176" s="174"/>
      <c r="S176" s="187"/>
      <c r="T176" s="188"/>
      <c r="U176" s="174"/>
      <c r="V176" s="174"/>
      <c r="W176" s="174"/>
      <c r="X176" s="174"/>
      <c r="Y176" s="174"/>
      <c r="Z176" s="174"/>
      <c r="AA176" s="174"/>
      <c r="AB176" s="174"/>
      <c r="AC176" s="174"/>
      <c r="AD176" s="174"/>
      <c r="AE176" s="174"/>
      <c r="AF176" s="174"/>
      <c r="AG176" s="174"/>
      <c r="AH176" s="174"/>
      <c r="AI176" s="174"/>
      <c r="AJ176" s="174"/>
      <c r="AK176" s="174"/>
      <c r="AL176" s="174"/>
      <c r="AM176" s="174"/>
      <c r="AN176" s="174"/>
      <c r="AO176" s="174"/>
      <c r="AP176" s="174"/>
      <c r="AQ176" s="174"/>
      <c r="AR176" s="174"/>
      <c r="AS176" s="174"/>
      <c r="AT176" s="174"/>
      <c r="AU176" s="174"/>
      <c r="AV176" s="174"/>
      <c r="AW176" s="174"/>
      <c r="AX176" s="174"/>
      <c r="AY176" s="174"/>
      <c r="AZ176" s="174"/>
      <c r="BA176" s="174"/>
      <c r="BB176" s="174"/>
      <c r="BC176" s="174"/>
      <c r="BD176" s="174"/>
      <c r="BE176" s="174"/>
      <c r="BF176" s="174"/>
      <c r="BG176" s="174"/>
      <c r="BH176" s="174"/>
      <c r="BI176" s="174"/>
      <c r="BJ176" s="174"/>
      <c r="BK176" s="174"/>
      <c r="BL176" s="174"/>
      <c r="BM176" s="174"/>
      <c r="BN176" s="174"/>
      <c r="BO176" s="174"/>
      <c r="BP176" s="174"/>
    </row>
    <row r="177" spans="1:68" s="18" customFormat="1" ht="12.75">
      <c r="A177" s="20"/>
      <c r="B177" s="21"/>
      <c r="G177" s="187"/>
      <c r="H177" s="188"/>
      <c r="I177" s="174"/>
      <c r="J177" s="174"/>
      <c r="K177" s="174"/>
      <c r="L177" s="174"/>
      <c r="M177" s="187"/>
      <c r="N177" s="188"/>
      <c r="O177" s="174"/>
      <c r="P177" s="174"/>
      <c r="Q177" s="174"/>
      <c r="R177" s="174"/>
      <c r="S177" s="187"/>
      <c r="T177" s="188"/>
      <c r="U177" s="174"/>
      <c r="V177" s="174"/>
      <c r="W177" s="174"/>
      <c r="X177" s="174"/>
      <c r="Y177" s="174"/>
      <c r="Z177" s="174"/>
      <c r="AA177" s="174"/>
      <c r="AB177" s="174"/>
      <c r="AC177" s="174"/>
      <c r="AD177" s="174"/>
      <c r="AE177" s="174"/>
      <c r="AF177" s="174"/>
      <c r="AG177" s="174"/>
      <c r="AH177" s="174"/>
      <c r="AI177" s="174"/>
      <c r="AJ177" s="174"/>
      <c r="AK177" s="174"/>
      <c r="AL177" s="174"/>
      <c r="AM177" s="174"/>
      <c r="AN177" s="174"/>
      <c r="AO177" s="174"/>
      <c r="AP177" s="174"/>
      <c r="AQ177" s="174"/>
      <c r="AR177" s="174"/>
      <c r="AS177" s="174"/>
      <c r="AT177" s="174"/>
      <c r="AU177" s="174"/>
      <c r="AV177" s="174"/>
      <c r="AW177" s="174"/>
      <c r="AX177" s="174"/>
      <c r="AY177" s="174"/>
      <c r="AZ177" s="174"/>
      <c r="BA177" s="174"/>
      <c r="BB177" s="174"/>
      <c r="BC177" s="174"/>
      <c r="BD177" s="174"/>
      <c r="BE177" s="174"/>
      <c r="BF177" s="174"/>
      <c r="BG177" s="174"/>
      <c r="BH177" s="174"/>
      <c r="BI177" s="174"/>
      <c r="BJ177" s="174"/>
      <c r="BK177" s="174"/>
      <c r="BL177" s="174"/>
      <c r="BM177" s="174"/>
      <c r="BN177" s="174"/>
      <c r="BO177" s="174"/>
      <c r="BP177" s="174"/>
    </row>
    <row r="178" spans="1:68" s="18" customFormat="1" ht="12.75">
      <c r="A178" s="20"/>
      <c r="B178" s="21"/>
      <c r="G178" s="187"/>
      <c r="H178" s="188"/>
      <c r="I178" s="174"/>
      <c r="J178" s="174"/>
      <c r="K178" s="174"/>
      <c r="L178" s="174"/>
      <c r="M178" s="187"/>
      <c r="N178" s="188"/>
      <c r="O178" s="174"/>
      <c r="P178" s="174"/>
      <c r="Q178" s="174"/>
      <c r="R178" s="174"/>
      <c r="S178" s="187"/>
      <c r="T178" s="188"/>
      <c r="U178" s="174"/>
      <c r="V178" s="174"/>
      <c r="W178" s="174"/>
      <c r="X178" s="174"/>
      <c r="Y178" s="174"/>
      <c r="Z178" s="174"/>
      <c r="AA178" s="174"/>
      <c r="AB178" s="174"/>
      <c r="AC178" s="174"/>
      <c r="AD178" s="174"/>
      <c r="AE178" s="174"/>
      <c r="AF178" s="174"/>
      <c r="AG178" s="174"/>
      <c r="AH178" s="174"/>
      <c r="AI178" s="174"/>
      <c r="AJ178" s="174"/>
      <c r="AK178" s="174"/>
      <c r="AL178" s="174"/>
      <c r="AM178" s="174"/>
      <c r="AN178" s="174"/>
      <c r="AO178" s="174"/>
      <c r="AP178" s="174"/>
      <c r="AQ178" s="174"/>
      <c r="AR178" s="174"/>
      <c r="AS178" s="174"/>
      <c r="AT178" s="174"/>
      <c r="AU178" s="174"/>
      <c r="AV178" s="174"/>
      <c r="AW178" s="174"/>
      <c r="AX178" s="174"/>
      <c r="AY178" s="174"/>
      <c r="AZ178" s="174"/>
      <c r="BA178" s="174"/>
      <c r="BB178" s="174"/>
      <c r="BC178" s="174"/>
      <c r="BD178" s="174"/>
      <c r="BE178" s="174"/>
      <c r="BF178" s="174"/>
      <c r="BG178" s="174"/>
      <c r="BH178" s="174"/>
      <c r="BI178" s="174"/>
      <c r="BJ178" s="174"/>
      <c r="BK178" s="174"/>
      <c r="BL178" s="174"/>
      <c r="BM178" s="174"/>
      <c r="BN178" s="174"/>
      <c r="BO178" s="174"/>
      <c r="BP178" s="174"/>
    </row>
    <row r="179" spans="1:68" s="18" customFormat="1" ht="12.75">
      <c r="A179" s="20"/>
      <c r="B179" s="21"/>
      <c r="G179" s="187"/>
      <c r="H179" s="188"/>
      <c r="I179" s="174"/>
      <c r="J179" s="174"/>
      <c r="K179" s="174"/>
      <c r="L179" s="174"/>
      <c r="M179" s="187"/>
      <c r="N179" s="188"/>
      <c r="O179" s="174"/>
      <c r="P179" s="174"/>
      <c r="Q179" s="174"/>
      <c r="R179" s="174"/>
      <c r="S179" s="187"/>
      <c r="T179" s="188"/>
      <c r="U179" s="174"/>
      <c r="V179" s="174"/>
      <c r="W179" s="174"/>
      <c r="X179" s="174"/>
      <c r="Y179" s="174"/>
      <c r="Z179" s="174"/>
      <c r="AA179" s="174"/>
      <c r="AB179" s="174"/>
      <c r="AC179" s="174"/>
      <c r="AD179" s="174"/>
      <c r="AE179" s="174"/>
      <c r="AF179" s="174"/>
      <c r="AG179" s="174"/>
      <c r="AH179" s="174"/>
      <c r="AI179" s="174"/>
      <c r="AJ179" s="174"/>
      <c r="AK179" s="174"/>
      <c r="AL179" s="174"/>
      <c r="AM179" s="174"/>
      <c r="AN179" s="174"/>
      <c r="AO179" s="174"/>
      <c r="AP179" s="174"/>
      <c r="AQ179" s="174"/>
      <c r="AR179" s="174"/>
      <c r="AS179" s="174"/>
      <c r="AT179" s="174"/>
      <c r="AU179" s="174"/>
      <c r="AV179" s="174"/>
      <c r="AW179" s="174"/>
      <c r="AX179" s="174"/>
      <c r="AY179" s="174"/>
      <c r="AZ179" s="174"/>
      <c r="BA179" s="174"/>
      <c r="BB179" s="174"/>
      <c r="BC179" s="174"/>
      <c r="BD179" s="174"/>
      <c r="BE179" s="174"/>
      <c r="BF179" s="174"/>
      <c r="BG179" s="174"/>
      <c r="BH179" s="174"/>
      <c r="BI179" s="174"/>
      <c r="BJ179" s="174"/>
      <c r="BK179" s="174"/>
      <c r="BL179" s="174"/>
      <c r="BM179" s="174"/>
      <c r="BN179" s="174"/>
      <c r="BO179" s="174"/>
      <c r="BP179" s="174"/>
    </row>
    <row r="180" spans="1:68" s="18" customFormat="1" ht="12.75">
      <c r="A180" s="20"/>
      <c r="B180" s="21"/>
      <c r="G180" s="187"/>
      <c r="H180" s="188"/>
      <c r="I180" s="174"/>
      <c r="J180" s="174"/>
      <c r="K180" s="174"/>
      <c r="L180" s="174"/>
      <c r="M180" s="187"/>
      <c r="N180" s="188"/>
      <c r="O180" s="174"/>
      <c r="P180" s="174"/>
      <c r="Q180" s="174"/>
      <c r="R180" s="174"/>
      <c r="S180" s="187"/>
      <c r="T180" s="188"/>
      <c r="U180" s="174"/>
      <c r="V180" s="174"/>
      <c r="W180" s="174"/>
      <c r="X180" s="174"/>
      <c r="Y180" s="174"/>
      <c r="Z180" s="174"/>
      <c r="AA180" s="174"/>
      <c r="AB180" s="174"/>
      <c r="AC180" s="174"/>
      <c r="AD180" s="174"/>
      <c r="AE180" s="174"/>
      <c r="AF180" s="174"/>
      <c r="AG180" s="174"/>
      <c r="AH180" s="174"/>
      <c r="AI180" s="174"/>
      <c r="AJ180" s="174"/>
      <c r="AK180" s="174"/>
      <c r="AL180" s="174"/>
      <c r="AM180" s="174"/>
      <c r="AN180" s="174"/>
      <c r="AO180" s="174"/>
      <c r="AP180" s="174"/>
      <c r="AQ180" s="174"/>
      <c r="AR180" s="174"/>
      <c r="AS180" s="174"/>
      <c r="AT180" s="174"/>
      <c r="AU180" s="174"/>
      <c r="AV180" s="174"/>
      <c r="AW180" s="174"/>
      <c r="AX180" s="174"/>
      <c r="AY180" s="174"/>
      <c r="AZ180" s="174"/>
      <c r="BA180" s="174"/>
      <c r="BB180" s="174"/>
      <c r="BC180" s="174"/>
      <c r="BD180" s="174"/>
      <c r="BE180" s="174"/>
      <c r="BF180" s="174"/>
      <c r="BG180" s="174"/>
      <c r="BH180" s="174"/>
      <c r="BI180" s="174"/>
      <c r="BJ180" s="174"/>
      <c r="BK180" s="174"/>
      <c r="BL180" s="174"/>
      <c r="BM180" s="174"/>
      <c r="BN180" s="174"/>
      <c r="BO180" s="174"/>
      <c r="BP180" s="174"/>
    </row>
    <row r="181" spans="1:68" s="18" customFormat="1" ht="12.75">
      <c r="A181" s="20"/>
      <c r="B181" s="21"/>
      <c r="G181" s="187"/>
      <c r="H181" s="188"/>
      <c r="I181" s="174"/>
      <c r="J181" s="174"/>
      <c r="K181" s="174"/>
      <c r="L181" s="174"/>
      <c r="M181" s="187"/>
      <c r="N181" s="188"/>
      <c r="O181" s="174"/>
      <c r="P181" s="174"/>
      <c r="Q181" s="174"/>
      <c r="R181" s="174"/>
      <c r="S181" s="187"/>
      <c r="T181" s="188"/>
      <c r="U181" s="174"/>
      <c r="V181" s="174"/>
      <c r="W181" s="174"/>
      <c r="X181" s="174"/>
      <c r="Y181" s="174"/>
      <c r="Z181" s="174"/>
      <c r="AA181" s="174"/>
      <c r="AB181" s="174"/>
      <c r="AC181" s="174"/>
      <c r="AD181" s="174"/>
      <c r="AE181" s="174"/>
      <c r="AF181" s="174"/>
      <c r="AG181" s="174"/>
      <c r="AH181" s="174"/>
      <c r="AI181" s="174"/>
      <c r="AJ181" s="174"/>
      <c r="AK181" s="174"/>
      <c r="AL181" s="174"/>
      <c r="AM181" s="174"/>
      <c r="AN181" s="174"/>
      <c r="AO181" s="174"/>
      <c r="AP181" s="174"/>
      <c r="AQ181" s="174"/>
      <c r="AR181" s="174"/>
      <c r="AS181" s="174"/>
      <c r="AT181" s="174"/>
      <c r="AU181" s="174"/>
      <c r="AV181" s="174"/>
      <c r="AW181" s="174"/>
      <c r="AX181" s="174"/>
      <c r="AY181" s="174"/>
      <c r="AZ181" s="174"/>
      <c r="BA181" s="174"/>
      <c r="BB181" s="174"/>
      <c r="BC181" s="174"/>
      <c r="BD181" s="174"/>
      <c r="BE181" s="174"/>
      <c r="BF181" s="174"/>
      <c r="BG181" s="174"/>
      <c r="BH181" s="174"/>
      <c r="BI181" s="174"/>
      <c r="BJ181" s="174"/>
      <c r="BK181" s="174"/>
      <c r="BL181" s="174"/>
      <c r="BM181" s="174"/>
      <c r="BN181" s="174"/>
      <c r="BO181" s="174"/>
      <c r="BP181" s="174"/>
    </row>
    <row r="182" spans="1:20" ht="12.75">
      <c r="A182" s="9"/>
      <c r="B182" s="10"/>
      <c r="G182" s="187"/>
      <c r="H182" s="188"/>
      <c r="M182" s="187"/>
      <c r="N182" s="188"/>
      <c r="S182" s="187"/>
      <c r="T182" s="188"/>
    </row>
    <row r="183" spans="1:20" ht="12.75">
      <c r="A183" s="9"/>
      <c r="B183" s="10"/>
      <c r="G183" s="187"/>
      <c r="H183" s="188"/>
      <c r="M183" s="187"/>
      <c r="N183" s="188"/>
      <c r="S183" s="187"/>
      <c r="T183" s="188"/>
    </row>
    <row r="184" spans="1:20" ht="12.75">
      <c r="A184" s="9"/>
      <c r="B184" s="10"/>
      <c r="G184" s="187"/>
      <c r="H184" s="188"/>
      <c r="M184" s="187"/>
      <c r="N184" s="188"/>
      <c r="S184" s="187"/>
      <c r="T184" s="188"/>
    </row>
    <row r="185" spans="1:20" ht="12.75">
      <c r="A185" s="9"/>
      <c r="B185" s="10"/>
      <c r="G185" s="187"/>
      <c r="H185" s="188"/>
      <c r="M185" s="187"/>
      <c r="N185" s="188"/>
      <c r="S185" s="187"/>
      <c r="T185" s="188"/>
    </row>
    <row r="186" spans="1:20" ht="12.75">
      <c r="A186" s="9"/>
      <c r="B186" s="10"/>
      <c r="G186" s="187"/>
      <c r="H186" s="188"/>
      <c r="M186" s="187"/>
      <c r="N186" s="188"/>
      <c r="S186" s="187"/>
      <c r="T186" s="188"/>
    </row>
    <row r="187" spans="1:20" ht="12.75">
      <c r="A187" s="9"/>
      <c r="B187" s="10"/>
      <c r="G187" s="187"/>
      <c r="H187" s="188"/>
      <c r="M187" s="187"/>
      <c r="N187" s="188"/>
      <c r="S187" s="187"/>
      <c r="T187" s="188"/>
    </row>
    <row r="188" spans="1:20" ht="12.75">
      <c r="A188" s="9"/>
      <c r="B188" s="10"/>
      <c r="G188" s="187"/>
      <c r="H188" s="188"/>
      <c r="M188" s="187"/>
      <c r="N188" s="188"/>
      <c r="S188" s="187"/>
      <c r="T188" s="188"/>
    </row>
    <row r="189" spans="1:20" ht="12.75">
      <c r="A189" s="9"/>
      <c r="B189" s="10"/>
      <c r="G189" s="187"/>
      <c r="H189" s="188"/>
      <c r="M189" s="187"/>
      <c r="N189" s="188"/>
      <c r="S189" s="187"/>
      <c r="T189" s="188"/>
    </row>
    <row r="190" spans="1:20" ht="12.75">
      <c r="A190" s="9"/>
      <c r="B190" s="10"/>
      <c r="G190" s="187"/>
      <c r="H190" s="188"/>
      <c r="M190" s="187"/>
      <c r="N190" s="188"/>
      <c r="S190" s="187"/>
      <c r="T190" s="188"/>
    </row>
    <row r="191" spans="1:20" ht="12.75">
      <c r="A191" s="9"/>
      <c r="B191" s="10"/>
      <c r="G191" s="187"/>
      <c r="H191" s="188"/>
      <c r="M191" s="187"/>
      <c r="N191" s="188"/>
      <c r="S191" s="187"/>
      <c r="T191" s="188"/>
    </row>
    <row r="192" spans="1:20" ht="12.75">
      <c r="A192" s="9"/>
      <c r="B192" s="10"/>
      <c r="G192" s="187"/>
      <c r="H192" s="188"/>
      <c r="M192" s="187"/>
      <c r="N192" s="188"/>
      <c r="S192" s="187"/>
      <c r="T192" s="188"/>
    </row>
    <row r="193" spans="1:20" ht="12.75">
      <c r="A193" s="9"/>
      <c r="B193" s="10"/>
      <c r="G193" s="187"/>
      <c r="H193" s="188"/>
      <c r="M193" s="187"/>
      <c r="N193" s="188"/>
      <c r="S193" s="187"/>
      <c r="T193" s="188"/>
    </row>
    <row r="194" spans="1:20" ht="12.75">
      <c r="A194" s="9"/>
      <c r="B194" s="10"/>
      <c r="G194" s="187"/>
      <c r="H194" s="188"/>
      <c r="M194" s="187"/>
      <c r="N194" s="188"/>
      <c r="S194" s="187"/>
      <c r="T194" s="188"/>
    </row>
    <row r="195" spans="1:20" ht="12.75">
      <c r="A195" s="9"/>
      <c r="B195" s="10"/>
      <c r="G195" s="187"/>
      <c r="H195" s="188"/>
      <c r="M195" s="187"/>
      <c r="N195" s="188"/>
      <c r="S195" s="187"/>
      <c r="T195" s="188"/>
    </row>
    <row r="196" spans="1:20" ht="12.75">
      <c r="A196" s="9"/>
      <c r="B196" s="10"/>
      <c r="G196" s="187"/>
      <c r="H196" s="188"/>
      <c r="M196" s="187"/>
      <c r="N196" s="188"/>
      <c r="S196" s="187"/>
      <c r="T196" s="188"/>
    </row>
    <row r="197" spans="1:20" ht="12.75">
      <c r="A197" s="9"/>
      <c r="B197" s="10"/>
      <c r="G197" s="187"/>
      <c r="H197" s="188"/>
      <c r="M197" s="187"/>
      <c r="N197" s="188"/>
      <c r="S197" s="187"/>
      <c r="T197" s="188"/>
    </row>
    <row r="198" spans="1:20" ht="12.75">
      <c r="A198" s="9"/>
      <c r="B198" s="10"/>
      <c r="G198" s="187"/>
      <c r="H198" s="188"/>
      <c r="M198" s="187"/>
      <c r="N198" s="188"/>
      <c r="S198" s="187"/>
      <c r="T198" s="188"/>
    </row>
    <row r="199" spans="1:20" ht="12.75">
      <c r="A199" s="9"/>
      <c r="B199" s="10"/>
      <c r="G199" s="187"/>
      <c r="H199" s="188"/>
      <c r="M199" s="187"/>
      <c r="N199" s="188"/>
      <c r="S199" s="187"/>
      <c r="T199" s="188"/>
    </row>
    <row r="200" spans="1:20" ht="12.75">
      <c r="A200" s="9"/>
      <c r="B200" s="10"/>
      <c r="G200" s="187"/>
      <c r="H200" s="188"/>
      <c r="M200" s="187"/>
      <c r="N200" s="188"/>
      <c r="S200" s="187"/>
      <c r="T200" s="188"/>
    </row>
    <row r="201" spans="1:20" ht="12.75">
      <c r="A201" s="9"/>
      <c r="B201" s="10"/>
      <c r="G201" s="187"/>
      <c r="H201" s="188"/>
      <c r="M201" s="187"/>
      <c r="N201" s="188"/>
      <c r="S201" s="187"/>
      <c r="T201" s="188"/>
    </row>
    <row r="202" spans="1:20" ht="12.75">
      <c r="A202" s="9"/>
      <c r="B202" s="10"/>
      <c r="G202" s="187"/>
      <c r="H202" s="188"/>
      <c r="M202" s="187"/>
      <c r="N202" s="188"/>
      <c r="S202" s="187"/>
      <c r="T202" s="188"/>
    </row>
    <row r="203" spans="1:20" ht="12.75">
      <c r="A203" s="9"/>
      <c r="B203" s="10"/>
      <c r="G203" s="187"/>
      <c r="H203" s="188"/>
      <c r="M203" s="187"/>
      <c r="N203" s="188"/>
      <c r="S203" s="187"/>
      <c r="T203" s="188"/>
    </row>
    <row r="204" spans="1:20" ht="12.75">
      <c r="A204" s="9"/>
      <c r="B204" s="10"/>
      <c r="G204" s="187"/>
      <c r="H204" s="188"/>
      <c r="M204" s="187"/>
      <c r="N204" s="188"/>
      <c r="S204" s="187"/>
      <c r="T204" s="188"/>
    </row>
    <row r="205" spans="1:20" ht="12.75">
      <c r="A205" s="9"/>
      <c r="B205" s="10"/>
      <c r="G205" s="187"/>
      <c r="H205" s="188"/>
      <c r="M205" s="187"/>
      <c r="N205" s="188"/>
      <c r="S205" s="187"/>
      <c r="T205" s="188"/>
    </row>
    <row r="206" spans="1:20" ht="12.75">
      <c r="A206" s="9"/>
      <c r="B206" s="10"/>
      <c r="G206" s="187"/>
      <c r="H206" s="188"/>
      <c r="M206" s="187"/>
      <c r="N206" s="188"/>
      <c r="S206" s="187"/>
      <c r="T206" s="188"/>
    </row>
    <row r="207" spans="1:20" ht="12.75">
      <c r="A207" s="9"/>
      <c r="B207" s="10"/>
      <c r="G207" s="187"/>
      <c r="H207" s="188"/>
      <c r="M207" s="187"/>
      <c r="N207" s="188"/>
      <c r="S207" s="187"/>
      <c r="T207" s="188"/>
    </row>
    <row r="208" spans="1:20" ht="12.75">
      <c r="A208" s="9"/>
      <c r="B208" s="10"/>
      <c r="G208" s="187"/>
      <c r="H208" s="188"/>
      <c r="M208" s="187"/>
      <c r="N208" s="188"/>
      <c r="S208" s="187"/>
      <c r="T208" s="188"/>
    </row>
    <row r="209" spans="1:20" ht="12.75">
      <c r="A209" s="9"/>
      <c r="B209" s="10"/>
      <c r="G209" s="187"/>
      <c r="H209" s="188"/>
      <c r="M209" s="187"/>
      <c r="N209" s="188"/>
      <c r="S209" s="187"/>
      <c r="T209" s="188"/>
    </row>
    <row r="210" spans="1:20" ht="12.75">
      <c r="A210" s="9"/>
      <c r="B210" s="10"/>
      <c r="G210" s="187"/>
      <c r="H210" s="188"/>
      <c r="M210" s="187"/>
      <c r="N210" s="188"/>
      <c r="S210" s="187"/>
      <c r="T210" s="188"/>
    </row>
    <row r="211" spans="1:20" ht="12.75">
      <c r="A211" s="9"/>
      <c r="B211" s="10"/>
      <c r="G211" s="187"/>
      <c r="H211" s="188"/>
      <c r="M211" s="187"/>
      <c r="N211" s="188"/>
      <c r="S211" s="187"/>
      <c r="T211" s="188"/>
    </row>
    <row r="212" spans="1:20" ht="12.75">
      <c r="A212" s="9"/>
      <c r="B212" s="10"/>
      <c r="G212" s="187"/>
      <c r="H212" s="188"/>
      <c r="M212" s="187"/>
      <c r="N212" s="188"/>
      <c r="S212" s="187"/>
      <c r="T212" s="188"/>
    </row>
    <row r="213" spans="1:20" ht="12.75">
      <c r="A213" s="9"/>
      <c r="B213" s="10"/>
      <c r="G213" s="187"/>
      <c r="H213" s="188"/>
      <c r="M213" s="187"/>
      <c r="N213" s="188"/>
      <c r="S213" s="187"/>
      <c r="T213" s="188"/>
    </row>
    <row r="214" spans="1:20" ht="12.75">
      <c r="A214" s="9"/>
      <c r="B214" s="10"/>
      <c r="G214" s="187"/>
      <c r="H214" s="188"/>
      <c r="M214" s="187"/>
      <c r="N214" s="188"/>
      <c r="S214" s="187"/>
      <c r="T214" s="188"/>
    </row>
    <row r="215" spans="1:20" ht="12.75">
      <c r="A215" s="9"/>
      <c r="B215" s="10"/>
      <c r="G215" s="187"/>
      <c r="H215" s="188"/>
      <c r="M215" s="187"/>
      <c r="N215" s="188"/>
      <c r="S215" s="187"/>
      <c r="T215" s="188"/>
    </row>
    <row r="216" spans="1:20" ht="12.75">
      <c r="A216" s="9"/>
      <c r="B216" s="10"/>
      <c r="G216" s="187"/>
      <c r="H216" s="188"/>
      <c r="M216" s="187"/>
      <c r="N216" s="188"/>
      <c r="S216" s="187"/>
      <c r="T216" s="188"/>
    </row>
    <row r="217" spans="1:20" ht="12.75">
      <c r="A217" s="9"/>
      <c r="B217" s="10"/>
      <c r="G217" s="187"/>
      <c r="H217" s="188"/>
      <c r="M217" s="187"/>
      <c r="N217" s="188"/>
      <c r="S217" s="187"/>
      <c r="T217" s="188"/>
    </row>
    <row r="218" spans="1:20" ht="12.75">
      <c r="A218" s="9"/>
      <c r="B218" s="10"/>
      <c r="G218" s="187"/>
      <c r="H218" s="188"/>
      <c r="M218" s="187"/>
      <c r="N218" s="188"/>
      <c r="S218" s="187"/>
      <c r="T218" s="188"/>
    </row>
    <row r="219" spans="1:20" ht="12.75">
      <c r="A219" s="9"/>
      <c r="B219" s="10"/>
      <c r="G219" s="187"/>
      <c r="H219" s="188"/>
      <c r="M219" s="187"/>
      <c r="N219" s="188"/>
      <c r="S219" s="187"/>
      <c r="T219" s="188"/>
    </row>
    <row r="220" spans="1:20" ht="12.75">
      <c r="A220" s="9"/>
      <c r="B220" s="10"/>
      <c r="G220" s="187"/>
      <c r="H220" s="188"/>
      <c r="M220" s="187"/>
      <c r="N220" s="188"/>
      <c r="S220" s="187"/>
      <c r="T220" s="188"/>
    </row>
    <row r="221" spans="1:20" ht="12.75">
      <c r="A221" s="9"/>
      <c r="B221" s="10"/>
      <c r="G221" s="187"/>
      <c r="H221" s="188"/>
      <c r="M221" s="187"/>
      <c r="N221" s="188"/>
      <c r="S221" s="187"/>
      <c r="T221" s="188"/>
    </row>
    <row r="222" spans="1:20" ht="12.75">
      <c r="A222" s="9"/>
      <c r="B222" s="10"/>
      <c r="G222" s="187"/>
      <c r="H222" s="188"/>
      <c r="M222" s="187"/>
      <c r="N222" s="188"/>
      <c r="S222" s="187"/>
      <c r="T222" s="188"/>
    </row>
    <row r="223" spans="1:20" ht="12.75">
      <c r="A223" s="9"/>
      <c r="B223" s="10"/>
      <c r="G223" s="187"/>
      <c r="H223" s="188"/>
      <c r="M223" s="187"/>
      <c r="N223" s="188"/>
      <c r="S223" s="187"/>
      <c r="T223" s="188"/>
    </row>
    <row r="224" spans="1:20" ht="12.75">
      <c r="A224" s="9"/>
      <c r="B224" s="10"/>
      <c r="G224" s="187"/>
      <c r="H224" s="188"/>
      <c r="M224" s="187"/>
      <c r="N224" s="188"/>
      <c r="S224" s="187"/>
      <c r="T224" s="188"/>
    </row>
    <row r="225" spans="1:20" ht="12.75">
      <c r="A225" s="9"/>
      <c r="B225" s="10"/>
      <c r="G225" s="187"/>
      <c r="H225" s="188"/>
      <c r="M225" s="187"/>
      <c r="N225" s="188"/>
      <c r="S225" s="187"/>
      <c r="T225" s="188"/>
    </row>
    <row r="226" spans="1:20" ht="12.75">
      <c r="A226" s="9"/>
      <c r="B226" s="10"/>
      <c r="G226" s="187"/>
      <c r="H226" s="188"/>
      <c r="M226" s="187"/>
      <c r="N226" s="188"/>
      <c r="S226" s="187"/>
      <c r="T226" s="188"/>
    </row>
    <row r="227" spans="1:20" ht="12.75">
      <c r="A227" s="9"/>
      <c r="B227" s="10"/>
      <c r="G227" s="187"/>
      <c r="H227" s="188"/>
      <c r="M227" s="187"/>
      <c r="N227" s="188"/>
      <c r="S227" s="187"/>
      <c r="T227" s="188"/>
    </row>
    <row r="228" spans="1:20" ht="12.75">
      <c r="A228" s="9"/>
      <c r="B228" s="10"/>
      <c r="G228" s="187"/>
      <c r="H228" s="188"/>
      <c r="M228" s="187"/>
      <c r="N228" s="188"/>
      <c r="S228" s="187"/>
      <c r="T228" s="188"/>
    </row>
    <row r="229" spans="1:20" ht="12.75">
      <c r="A229" s="9"/>
      <c r="B229" s="10"/>
      <c r="G229" s="187"/>
      <c r="H229" s="188"/>
      <c r="M229" s="187"/>
      <c r="N229" s="188"/>
      <c r="S229" s="187"/>
      <c r="T229" s="188"/>
    </row>
    <row r="230" spans="1:20" ht="12.75">
      <c r="A230" s="9"/>
      <c r="B230" s="10"/>
      <c r="G230" s="187"/>
      <c r="H230" s="188"/>
      <c r="M230" s="187"/>
      <c r="N230" s="188"/>
      <c r="S230" s="187"/>
      <c r="T230" s="188"/>
    </row>
    <row r="231" spans="1:20" ht="12.75">
      <c r="A231" s="9"/>
      <c r="B231" s="10"/>
      <c r="G231" s="187"/>
      <c r="H231" s="188"/>
      <c r="M231" s="187"/>
      <c r="N231" s="188"/>
      <c r="S231" s="187"/>
      <c r="T231" s="188"/>
    </row>
    <row r="232" spans="1:20" ht="12.75">
      <c r="A232" s="9"/>
      <c r="B232" s="10"/>
      <c r="G232" s="187"/>
      <c r="H232" s="188"/>
      <c r="M232" s="187"/>
      <c r="N232" s="188"/>
      <c r="S232" s="187"/>
      <c r="T232" s="188"/>
    </row>
    <row r="233" spans="1:20" ht="12.75">
      <c r="A233" s="9"/>
      <c r="B233" s="10"/>
      <c r="G233" s="187"/>
      <c r="H233" s="188"/>
      <c r="M233" s="187"/>
      <c r="N233" s="188"/>
      <c r="S233" s="187"/>
      <c r="T233" s="188"/>
    </row>
    <row r="234" spans="1:20" ht="12.75">
      <c r="A234" s="9"/>
      <c r="B234" s="10"/>
      <c r="G234" s="187"/>
      <c r="H234" s="188"/>
      <c r="M234" s="187"/>
      <c r="N234" s="188"/>
      <c r="S234" s="187"/>
      <c r="T234" s="188"/>
    </row>
    <row r="235" spans="1:20" ht="12.75">
      <c r="A235" s="9"/>
      <c r="B235" s="10"/>
      <c r="G235" s="187"/>
      <c r="H235" s="188"/>
      <c r="M235" s="187"/>
      <c r="N235" s="188"/>
      <c r="S235" s="187"/>
      <c r="T235" s="188"/>
    </row>
    <row r="236" spans="1:20" ht="12.75">
      <c r="A236" s="9"/>
      <c r="B236" s="10"/>
      <c r="G236" s="187"/>
      <c r="H236" s="188"/>
      <c r="M236" s="187"/>
      <c r="N236" s="188"/>
      <c r="S236" s="187"/>
      <c r="T236" s="188"/>
    </row>
    <row r="237" spans="1:20" ht="12.75">
      <c r="A237" s="9"/>
      <c r="B237" s="10"/>
      <c r="G237" s="187"/>
      <c r="H237" s="188"/>
      <c r="M237" s="187"/>
      <c r="N237" s="188"/>
      <c r="S237" s="187"/>
      <c r="T237" s="188"/>
    </row>
    <row r="238" spans="1:20" ht="12.75">
      <c r="A238" s="9"/>
      <c r="B238" s="10"/>
      <c r="G238" s="187"/>
      <c r="H238" s="188"/>
      <c r="M238" s="187"/>
      <c r="N238" s="188"/>
      <c r="S238" s="187"/>
      <c r="T238" s="188"/>
    </row>
    <row r="239" spans="1:20" ht="12.75">
      <c r="A239" s="9"/>
      <c r="B239" s="10"/>
      <c r="G239" s="187"/>
      <c r="H239" s="188"/>
      <c r="M239" s="187"/>
      <c r="N239" s="188"/>
      <c r="S239" s="187"/>
      <c r="T239" s="188"/>
    </row>
    <row r="240" spans="1:20" ht="12.75">
      <c r="A240" s="9"/>
      <c r="B240" s="10"/>
      <c r="G240" s="187"/>
      <c r="H240" s="188"/>
      <c r="M240" s="187"/>
      <c r="N240" s="188"/>
      <c r="S240" s="187"/>
      <c r="T240" s="188"/>
    </row>
    <row r="241" spans="1:20" ht="12.75">
      <c r="A241" s="9"/>
      <c r="B241" s="10"/>
      <c r="G241" s="187"/>
      <c r="H241" s="188"/>
      <c r="M241" s="187"/>
      <c r="N241" s="188"/>
      <c r="S241" s="187"/>
      <c r="T241" s="188"/>
    </row>
    <row r="242" spans="1:20" ht="12.75">
      <c r="A242" s="9"/>
      <c r="B242" s="10"/>
      <c r="G242" s="187"/>
      <c r="H242" s="188"/>
      <c r="M242" s="187"/>
      <c r="N242" s="188"/>
      <c r="S242" s="187"/>
      <c r="T242" s="188"/>
    </row>
    <row r="243" spans="1:20" ht="12.75">
      <c r="A243" s="9"/>
      <c r="B243" s="10"/>
      <c r="G243" s="187"/>
      <c r="H243" s="188"/>
      <c r="M243" s="187"/>
      <c r="N243" s="188"/>
      <c r="S243" s="187"/>
      <c r="T243" s="188"/>
    </row>
    <row r="244" spans="1:20" ht="12.75">
      <c r="A244" s="9"/>
      <c r="B244" s="10"/>
      <c r="G244" s="187"/>
      <c r="H244" s="188"/>
      <c r="M244" s="187"/>
      <c r="N244" s="188"/>
      <c r="S244" s="187"/>
      <c r="T244" s="188"/>
    </row>
    <row r="245" spans="1:20" ht="12.75">
      <c r="A245" s="9"/>
      <c r="B245" s="10"/>
      <c r="G245" s="187"/>
      <c r="H245" s="188"/>
      <c r="M245" s="187"/>
      <c r="N245" s="188"/>
      <c r="S245" s="187"/>
      <c r="T245" s="188"/>
    </row>
    <row r="246" spans="1:20" ht="12.75">
      <c r="A246" s="9"/>
      <c r="B246" s="10"/>
      <c r="G246" s="187"/>
      <c r="H246" s="188"/>
      <c r="M246" s="187"/>
      <c r="N246" s="188"/>
      <c r="S246" s="187"/>
      <c r="T246" s="188"/>
    </row>
    <row r="247" spans="1:20" ht="12.75">
      <c r="A247" s="9"/>
      <c r="B247" s="10"/>
      <c r="G247" s="187"/>
      <c r="H247" s="188"/>
      <c r="M247" s="187"/>
      <c r="N247" s="188"/>
      <c r="S247" s="187"/>
      <c r="T247" s="188"/>
    </row>
    <row r="248" spans="1:20" ht="12.75">
      <c r="A248" s="9"/>
      <c r="B248" s="10"/>
      <c r="G248" s="187"/>
      <c r="H248" s="188"/>
      <c r="M248" s="187"/>
      <c r="N248" s="188"/>
      <c r="S248" s="187"/>
      <c r="T248" s="188"/>
    </row>
    <row r="249" spans="1:20" ht="12.75">
      <c r="A249" s="9"/>
      <c r="B249" s="10"/>
      <c r="G249" s="187"/>
      <c r="H249" s="188"/>
      <c r="M249" s="187"/>
      <c r="N249" s="188"/>
      <c r="S249" s="187"/>
      <c r="T249" s="188"/>
    </row>
    <row r="250" spans="1:20" ht="12.75">
      <c r="A250" s="9"/>
      <c r="B250" s="10"/>
      <c r="G250" s="187"/>
      <c r="H250" s="188"/>
      <c r="M250" s="187"/>
      <c r="N250" s="188"/>
      <c r="S250" s="187"/>
      <c r="T250" s="188"/>
    </row>
    <row r="251" spans="1:20" ht="12.75">
      <c r="A251" s="9"/>
      <c r="B251" s="10"/>
      <c r="G251" s="187"/>
      <c r="H251" s="188"/>
      <c r="M251" s="187"/>
      <c r="N251" s="188"/>
      <c r="S251" s="187"/>
      <c r="T251" s="188"/>
    </row>
    <row r="252" spans="1:20" ht="12.75">
      <c r="A252" s="9"/>
      <c r="B252" s="10"/>
      <c r="G252" s="187"/>
      <c r="H252" s="188"/>
      <c r="M252" s="187"/>
      <c r="N252" s="188"/>
      <c r="S252" s="187"/>
      <c r="T252" s="188"/>
    </row>
    <row r="253" spans="1:20" ht="12.75">
      <c r="A253" s="9"/>
      <c r="B253" s="10"/>
      <c r="G253" s="187"/>
      <c r="H253" s="188"/>
      <c r="M253" s="187"/>
      <c r="N253" s="188"/>
      <c r="S253" s="187"/>
      <c r="T253" s="188"/>
    </row>
    <row r="254" spans="1:20" ht="12.75">
      <c r="A254" s="9"/>
      <c r="B254" s="10"/>
      <c r="G254" s="187"/>
      <c r="H254" s="188"/>
      <c r="M254" s="187"/>
      <c r="N254" s="188"/>
      <c r="S254" s="187"/>
      <c r="T254" s="188"/>
    </row>
    <row r="255" spans="1:20" ht="12.75">
      <c r="A255" s="9"/>
      <c r="B255" s="10"/>
      <c r="G255" s="187"/>
      <c r="H255" s="188"/>
      <c r="M255" s="187"/>
      <c r="N255" s="188"/>
      <c r="S255" s="187"/>
      <c r="T255" s="188"/>
    </row>
    <row r="256" spans="1:20" ht="12.75">
      <c r="A256" s="9"/>
      <c r="B256" s="10"/>
      <c r="G256" s="187"/>
      <c r="H256" s="188"/>
      <c r="M256" s="187"/>
      <c r="N256" s="188"/>
      <c r="S256" s="187"/>
      <c r="T256" s="188"/>
    </row>
    <row r="257" spans="1:20" ht="12.75">
      <c r="A257" s="9"/>
      <c r="B257" s="10"/>
      <c r="G257" s="187"/>
      <c r="H257" s="188"/>
      <c r="M257" s="187"/>
      <c r="N257" s="188"/>
      <c r="S257" s="187"/>
      <c r="T257" s="188"/>
    </row>
    <row r="258" spans="1:20" ht="12.75">
      <c r="A258" s="9"/>
      <c r="B258" s="10"/>
      <c r="G258" s="187"/>
      <c r="H258" s="188"/>
      <c r="M258" s="187"/>
      <c r="N258" s="188"/>
      <c r="S258" s="187"/>
      <c r="T258" s="188"/>
    </row>
    <row r="259" spans="1:20" ht="12.75">
      <c r="A259" s="9"/>
      <c r="B259" s="10"/>
      <c r="G259" s="187"/>
      <c r="H259" s="188"/>
      <c r="M259" s="187"/>
      <c r="N259" s="188"/>
      <c r="S259" s="187"/>
      <c r="T259" s="188"/>
    </row>
    <row r="260" spans="1:20" ht="12.75">
      <c r="A260" s="9"/>
      <c r="B260" s="10"/>
      <c r="G260" s="187"/>
      <c r="H260" s="188"/>
      <c r="M260" s="187"/>
      <c r="N260" s="188"/>
      <c r="S260" s="187"/>
      <c r="T260" s="188"/>
    </row>
    <row r="261" spans="1:20" ht="12.75">
      <c r="A261" s="9"/>
      <c r="B261" s="10"/>
      <c r="G261" s="187"/>
      <c r="H261" s="188"/>
      <c r="M261" s="187"/>
      <c r="N261" s="188"/>
      <c r="S261" s="187"/>
      <c r="T261" s="188"/>
    </row>
    <row r="262" spans="1:20" ht="12.75">
      <c r="A262" s="9"/>
      <c r="B262" s="10"/>
      <c r="G262" s="187"/>
      <c r="H262" s="188"/>
      <c r="M262" s="187"/>
      <c r="N262" s="188"/>
      <c r="S262" s="187"/>
      <c r="T262" s="188"/>
    </row>
    <row r="263" spans="1:20" ht="12.75">
      <c r="A263" s="9"/>
      <c r="B263" s="10"/>
      <c r="G263" s="187"/>
      <c r="H263" s="188"/>
      <c r="M263" s="187"/>
      <c r="N263" s="188"/>
      <c r="S263" s="187"/>
      <c r="T263" s="188"/>
    </row>
    <row r="264" spans="1:20" ht="12.75">
      <c r="A264" s="9"/>
      <c r="B264" s="10"/>
      <c r="G264" s="187"/>
      <c r="H264" s="188"/>
      <c r="M264" s="187"/>
      <c r="N264" s="188"/>
      <c r="S264" s="187"/>
      <c r="T264" s="188"/>
    </row>
    <row r="265" spans="1:20" ht="12.75">
      <c r="A265" s="9"/>
      <c r="B265" s="10"/>
      <c r="G265" s="187"/>
      <c r="H265" s="188"/>
      <c r="M265" s="187"/>
      <c r="N265" s="188"/>
      <c r="S265" s="187"/>
      <c r="T265" s="188"/>
    </row>
    <row r="266" spans="1:20" ht="12.75">
      <c r="A266" s="9"/>
      <c r="B266" s="10"/>
      <c r="G266" s="187"/>
      <c r="H266" s="188"/>
      <c r="M266" s="187"/>
      <c r="N266" s="188"/>
      <c r="S266" s="187"/>
      <c r="T266" s="188"/>
    </row>
    <row r="267" spans="1:20" ht="12.75">
      <c r="A267" s="9"/>
      <c r="B267" s="10"/>
      <c r="G267" s="187"/>
      <c r="H267" s="188"/>
      <c r="M267" s="187"/>
      <c r="N267" s="188"/>
      <c r="S267" s="187"/>
      <c r="T267" s="188"/>
    </row>
    <row r="268" spans="1:20" ht="12.75">
      <c r="A268" s="9"/>
      <c r="B268" s="10"/>
      <c r="G268" s="187"/>
      <c r="H268" s="188"/>
      <c r="M268" s="187"/>
      <c r="N268" s="188"/>
      <c r="S268" s="187"/>
      <c r="T268" s="188"/>
    </row>
    <row r="269" spans="1:20" ht="12.75">
      <c r="A269" s="9"/>
      <c r="B269" s="10"/>
      <c r="G269" s="187"/>
      <c r="H269" s="188"/>
      <c r="M269" s="187"/>
      <c r="N269" s="188"/>
      <c r="S269" s="187"/>
      <c r="T269" s="188"/>
    </row>
    <row r="270" spans="1:20" ht="12.75">
      <c r="A270" s="9"/>
      <c r="B270" s="10"/>
      <c r="G270" s="187"/>
      <c r="H270" s="188"/>
      <c r="M270" s="187"/>
      <c r="N270" s="188"/>
      <c r="S270" s="187"/>
      <c r="T270" s="188"/>
    </row>
    <row r="271" spans="1:20" ht="12.75">
      <c r="A271" s="9"/>
      <c r="B271" s="10"/>
      <c r="G271" s="187"/>
      <c r="H271" s="188"/>
      <c r="M271" s="187"/>
      <c r="N271" s="188"/>
      <c r="S271" s="187"/>
      <c r="T271" s="188"/>
    </row>
    <row r="272" spans="1:20" ht="12.75">
      <c r="A272" s="9"/>
      <c r="B272" s="10"/>
      <c r="G272" s="187"/>
      <c r="H272" s="188"/>
      <c r="M272" s="187"/>
      <c r="N272" s="188"/>
      <c r="S272" s="187"/>
      <c r="T272" s="188"/>
    </row>
    <row r="273" spans="1:20" ht="12.75">
      <c r="A273" s="9"/>
      <c r="B273" s="10"/>
      <c r="G273" s="187"/>
      <c r="H273" s="188"/>
      <c r="M273" s="187"/>
      <c r="N273" s="188"/>
      <c r="S273" s="187"/>
      <c r="T273" s="188"/>
    </row>
    <row r="274" spans="1:20" ht="12.75">
      <c r="A274" s="9"/>
      <c r="B274" s="10"/>
      <c r="G274" s="187"/>
      <c r="H274" s="188"/>
      <c r="M274" s="187"/>
      <c r="N274" s="188"/>
      <c r="S274" s="187"/>
      <c r="T274" s="188"/>
    </row>
    <row r="275" spans="1:20" ht="12.75">
      <c r="A275" s="9"/>
      <c r="B275" s="10"/>
      <c r="G275" s="187"/>
      <c r="H275" s="188"/>
      <c r="M275" s="187"/>
      <c r="N275" s="188"/>
      <c r="S275" s="187"/>
      <c r="T275" s="188"/>
    </row>
    <row r="276" spans="1:20" ht="12.75">
      <c r="A276" s="9"/>
      <c r="B276" s="10"/>
      <c r="G276" s="187"/>
      <c r="H276" s="188"/>
      <c r="M276" s="187"/>
      <c r="N276" s="188"/>
      <c r="S276" s="187"/>
      <c r="T276" s="188"/>
    </row>
    <row r="277" spans="1:20" ht="12.75">
      <c r="A277" s="9"/>
      <c r="B277" s="10"/>
      <c r="G277" s="187"/>
      <c r="H277" s="188"/>
      <c r="M277" s="187"/>
      <c r="N277" s="188"/>
      <c r="S277" s="187"/>
      <c r="T277" s="188"/>
    </row>
    <row r="278" spans="1:20" ht="12.75">
      <c r="A278" s="9"/>
      <c r="B278" s="10"/>
      <c r="G278" s="187"/>
      <c r="H278" s="188"/>
      <c r="M278" s="187"/>
      <c r="N278" s="188"/>
      <c r="S278" s="187"/>
      <c r="T278" s="188"/>
    </row>
    <row r="279" spans="1:20" ht="12.75">
      <c r="A279" s="9"/>
      <c r="B279" s="10"/>
      <c r="G279" s="187"/>
      <c r="H279" s="188"/>
      <c r="M279" s="187"/>
      <c r="N279" s="188"/>
      <c r="S279" s="187"/>
      <c r="T279" s="188"/>
    </row>
    <row r="280" spans="1:20" ht="12.75">
      <c r="A280" s="9"/>
      <c r="B280" s="10"/>
      <c r="G280" s="187"/>
      <c r="H280" s="188"/>
      <c r="M280" s="187"/>
      <c r="N280" s="188"/>
      <c r="S280" s="187"/>
      <c r="T280" s="188"/>
    </row>
    <row r="281" spans="1:20" ht="12.75">
      <c r="A281" s="9"/>
      <c r="B281" s="10"/>
      <c r="G281" s="187"/>
      <c r="H281" s="188"/>
      <c r="M281" s="187"/>
      <c r="N281" s="188"/>
      <c r="S281" s="187"/>
      <c r="T281" s="188"/>
    </row>
    <row r="282" spans="1:20" ht="12.75">
      <c r="A282" s="9"/>
      <c r="B282" s="10"/>
      <c r="G282" s="187"/>
      <c r="H282" s="188"/>
      <c r="M282" s="187"/>
      <c r="N282" s="188"/>
      <c r="S282" s="187"/>
      <c r="T282" s="188"/>
    </row>
    <row r="283" spans="1:19" ht="12.75">
      <c r="A283" s="9"/>
      <c r="B283" s="10"/>
      <c r="G283" s="187"/>
      <c r="H283" s="188"/>
      <c r="M283" s="187"/>
      <c r="S283" s="187"/>
    </row>
    <row r="284" spans="1:19" ht="12.75">
      <c r="A284" s="9"/>
      <c r="B284" s="10"/>
      <c r="G284" s="187"/>
      <c r="H284" s="188"/>
      <c r="M284" s="187"/>
      <c r="S284" s="187"/>
    </row>
    <row r="285" spans="1:19" ht="12.75">
      <c r="A285" s="9"/>
      <c r="B285" s="10"/>
      <c r="G285" s="187"/>
      <c r="H285" s="188"/>
      <c r="M285" s="187"/>
      <c r="S285" s="187"/>
    </row>
    <row r="286" spans="1:19" ht="12.75">
      <c r="A286" s="9"/>
      <c r="B286" s="10"/>
      <c r="G286" s="187"/>
      <c r="H286" s="188"/>
      <c r="M286" s="187"/>
      <c r="S286" s="187"/>
    </row>
    <row r="287" spans="1:19" ht="12.75">
      <c r="A287" s="9"/>
      <c r="B287" s="10"/>
      <c r="G287" s="187"/>
      <c r="H287" s="188"/>
      <c r="M287" s="187"/>
      <c r="S287" s="187"/>
    </row>
    <row r="288" spans="1:19" ht="12.75">
      <c r="A288" s="9"/>
      <c r="B288" s="10"/>
      <c r="G288" s="187"/>
      <c r="H288" s="188"/>
      <c r="M288" s="187"/>
      <c r="S288" s="187"/>
    </row>
    <row r="289" spans="1:19" ht="12.75">
      <c r="A289" s="9"/>
      <c r="B289" s="10"/>
      <c r="G289" s="187"/>
      <c r="H289" s="188"/>
      <c r="M289" s="187"/>
      <c r="S289" s="187"/>
    </row>
    <row r="290" spans="1:19" ht="12.75">
      <c r="A290" s="9"/>
      <c r="B290" s="10"/>
      <c r="G290" s="187"/>
      <c r="H290" s="188"/>
      <c r="M290" s="187"/>
      <c r="S290" s="187"/>
    </row>
    <row r="291" spans="1:19" ht="12.75">
      <c r="A291" s="9"/>
      <c r="B291" s="10"/>
      <c r="G291" s="187"/>
      <c r="H291" s="188"/>
      <c r="M291" s="187"/>
      <c r="S291" s="187"/>
    </row>
    <row r="292" spans="1:19" ht="12.75">
      <c r="A292" s="9"/>
      <c r="B292" s="10"/>
      <c r="G292" s="187"/>
      <c r="H292" s="188"/>
      <c r="M292" s="187"/>
      <c r="S292" s="187"/>
    </row>
    <row r="293" spans="1:19" ht="12.75">
      <c r="A293" s="9"/>
      <c r="B293" s="10"/>
      <c r="G293" s="187"/>
      <c r="H293" s="188"/>
      <c r="M293" s="187"/>
      <c r="S293" s="187"/>
    </row>
    <row r="294" spans="1:19" ht="12.75">
      <c r="A294" s="9"/>
      <c r="B294" s="10"/>
      <c r="G294" s="187"/>
      <c r="H294" s="188"/>
      <c r="M294" s="187"/>
      <c r="S294" s="187"/>
    </row>
    <row r="295" spans="1:19" ht="12.75">
      <c r="A295" s="9"/>
      <c r="B295" s="10"/>
      <c r="G295" s="187"/>
      <c r="H295" s="188"/>
      <c r="M295" s="187"/>
      <c r="S295" s="187"/>
    </row>
    <row r="296" spans="1:19" ht="12.75">
      <c r="A296" s="9"/>
      <c r="G296" s="187"/>
      <c r="M296" s="187"/>
      <c r="S296" s="187"/>
    </row>
    <row r="297" spans="1:19" ht="12.75">
      <c r="A297" s="9"/>
      <c r="G297" s="187"/>
      <c r="M297" s="187"/>
      <c r="S297" s="187"/>
    </row>
    <row r="298" spans="1:19" ht="12.75">
      <c r="A298" s="9"/>
      <c r="G298" s="187"/>
      <c r="M298" s="187"/>
      <c r="S298" s="187"/>
    </row>
    <row r="299" spans="1:19" ht="12.75">
      <c r="A299" s="9"/>
      <c r="G299" s="187"/>
      <c r="M299" s="187"/>
      <c r="S299" s="187"/>
    </row>
    <row r="300" spans="1:19" ht="12.75">
      <c r="A300" s="9"/>
      <c r="G300" s="187"/>
      <c r="M300" s="187"/>
      <c r="S300" s="187"/>
    </row>
    <row r="301" spans="1:19" ht="12.75">
      <c r="A301" s="9"/>
      <c r="G301" s="187"/>
      <c r="M301" s="187"/>
      <c r="S301" s="187"/>
    </row>
    <row r="302" spans="1:19" ht="12.75">
      <c r="A302" s="9"/>
      <c r="G302" s="187"/>
      <c r="M302" s="187"/>
      <c r="S302" s="187"/>
    </row>
    <row r="303" spans="1:19" ht="12.75">
      <c r="A303" s="9"/>
      <c r="G303" s="187"/>
      <c r="M303" s="187"/>
      <c r="S303" s="187"/>
    </row>
    <row r="304" spans="1:19" ht="12.75">
      <c r="A304" s="9"/>
      <c r="G304" s="187"/>
      <c r="M304" s="187"/>
      <c r="S304" s="187"/>
    </row>
    <row r="305" spans="1:19" ht="12.75">
      <c r="A305" s="9"/>
      <c r="G305" s="187"/>
      <c r="M305" s="187"/>
      <c r="S305" s="187"/>
    </row>
    <row r="306" spans="1:19" ht="12.75">
      <c r="A306" s="9"/>
      <c r="G306" s="187"/>
      <c r="M306" s="187"/>
      <c r="S306" s="187"/>
    </row>
    <row r="307" spans="1:19" ht="12.75">
      <c r="A307" s="9"/>
      <c r="G307" s="187"/>
      <c r="M307" s="187"/>
      <c r="S307" s="187"/>
    </row>
    <row r="308" spans="1:19" ht="12.75">
      <c r="A308" s="9"/>
      <c r="G308" s="187"/>
      <c r="M308" s="187"/>
      <c r="S308" s="187"/>
    </row>
    <row r="309" spans="1:19" ht="12.75">
      <c r="A309" s="9"/>
      <c r="G309" s="187"/>
      <c r="M309" s="187"/>
      <c r="S309" s="187"/>
    </row>
    <row r="310" spans="1:19" ht="12.75">
      <c r="A310" s="9"/>
      <c r="G310" s="187"/>
      <c r="M310" s="187"/>
      <c r="S310" s="187"/>
    </row>
    <row r="311" spans="1:19" ht="12.75">
      <c r="A311" s="9"/>
      <c r="G311" s="187"/>
      <c r="M311" s="187"/>
      <c r="S311" s="187"/>
    </row>
    <row r="312" spans="1:19" ht="12.75">
      <c r="A312" s="9"/>
      <c r="G312" s="187"/>
      <c r="M312" s="187"/>
      <c r="S312" s="187"/>
    </row>
    <row r="313" spans="1:19" ht="12.75">
      <c r="A313" s="9"/>
      <c r="G313" s="187"/>
      <c r="M313" s="187"/>
      <c r="S313" s="187"/>
    </row>
    <row r="314" spans="1:19" ht="12.75">
      <c r="A314" s="9"/>
      <c r="G314" s="187"/>
      <c r="M314" s="187"/>
      <c r="S314" s="187"/>
    </row>
    <row r="315" spans="1:19" ht="12.75">
      <c r="A315" s="9"/>
      <c r="G315" s="187"/>
      <c r="M315" s="187"/>
      <c r="S315" s="187"/>
    </row>
    <row r="316" spans="1:19" ht="12.75">
      <c r="A316" s="9"/>
      <c r="G316" s="187"/>
      <c r="M316" s="187"/>
      <c r="S316" s="187"/>
    </row>
    <row r="317" spans="1:19" ht="12.75">
      <c r="A317" s="9"/>
      <c r="G317" s="187"/>
      <c r="M317" s="187"/>
      <c r="S317" s="187"/>
    </row>
    <row r="318" spans="1:19" ht="12.75">
      <c r="A318" s="9"/>
      <c r="G318" s="187"/>
      <c r="M318" s="187"/>
      <c r="S318" s="187"/>
    </row>
    <row r="319" spans="1:19" ht="12.75">
      <c r="A319" s="9"/>
      <c r="G319" s="187"/>
      <c r="M319" s="187"/>
      <c r="S319" s="187"/>
    </row>
    <row r="320" spans="1:19" ht="12.75">
      <c r="A320" s="9"/>
      <c r="G320" s="187"/>
      <c r="M320" s="187"/>
      <c r="S320" s="187"/>
    </row>
    <row r="321" spans="1:19" ht="12.75">
      <c r="A321" s="9"/>
      <c r="G321" s="187"/>
      <c r="M321" s="187"/>
      <c r="S321" s="187"/>
    </row>
    <row r="322" spans="1:19" ht="12.75">
      <c r="A322" s="9"/>
      <c r="G322" s="187"/>
      <c r="M322" s="187"/>
      <c r="S322" s="187"/>
    </row>
    <row r="323" spans="1:19" ht="12.75">
      <c r="A323" s="9"/>
      <c r="G323" s="187"/>
      <c r="M323" s="187"/>
      <c r="S323" s="187"/>
    </row>
    <row r="324" spans="1:19" ht="12.75">
      <c r="A324" s="9"/>
      <c r="G324" s="187"/>
      <c r="M324" s="187"/>
      <c r="S324" s="187"/>
    </row>
    <row r="325" spans="1:19" ht="12.75">
      <c r="A325" s="9"/>
      <c r="G325" s="187"/>
      <c r="M325" s="187"/>
      <c r="S325" s="187"/>
    </row>
    <row r="326" spans="1:19" ht="12.75">
      <c r="A326" s="9"/>
      <c r="G326" s="187"/>
      <c r="M326" s="187"/>
      <c r="S326" s="187"/>
    </row>
    <row r="327" spans="1:19" ht="12.75">
      <c r="A327" s="9"/>
      <c r="G327" s="187"/>
      <c r="M327" s="187"/>
      <c r="S327" s="187"/>
    </row>
    <row r="328" spans="1:19" ht="12.75">
      <c r="A328" s="9"/>
      <c r="G328" s="187"/>
      <c r="M328" s="187"/>
      <c r="S328" s="187"/>
    </row>
    <row r="329" spans="1:19" ht="12.75">
      <c r="A329" s="9"/>
      <c r="G329" s="187"/>
      <c r="M329" s="187"/>
      <c r="S329" s="187"/>
    </row>
    <row r="330" spans="1:19" ht="12.75">
      <c r="A330" s="9"/>
      <c r="G330" s="187"/>
      <c r="M330" s="187"/>
      <c r="S330" s="187"/>
    </row>
    <row r="331" spans="1:19" ht="12.75">
      <c r="A331" s="9"/>
      <c r="G331" s="187"/>
      <c r="M331" s="187"/>
      <c r="S331" s="187"/>
    </row>
    <row r="332" spans="1:19" ht="12.75">
      <c r="A332" s="9"/>
      <c r="G332" s="187"/>
      <c r="M332" s="187"/>
      <c r="S332" s="187"/>
    </row>
    <row r="333" spans="1:19" ht="12.75">
      <c r="A333" s="9"/>
      <c r="G333" s="187"/>
      <c r="M333" s="187"/>
      <c r="S333" s="187"/>
    </row>
    <row r="334" spans="1:19" ht="12.75">
      <c r="A334" s="9"/>
      <c r="G334" s="187"/>
      <c r="M334" s="187"/>
      <c r="S334" s="187"/>
    </row>
    <row r="335" spans="1:19" ht="12.75">
      <c r="A335" s="9"/>
      <c r="G335" s="187"/>
      <c r="M335" s="187"/>
      <c r="S335" s="187"/>
    </row>
    <row r="336" spans="1:19" ht="12.75">
      <c r="A336" s="9"/>
      <c r="G336" s="187"/>
      <c r="M336" s="187"/>
      <c r="S336" s="187"/>
    </row>
    <row r="337" spans="1:19" ht="12.75">
      <c r="A337" s="9"/>
      <c r="G337" s="187"/>
      <c r="M337" s="187"/>
      <c r="S337" s="187"/>
    </row>
    <row r="338" spans="1:19" ht="12.75">
      <c r="A338" s="9"/>
      <c r="G338" s="187"/>
      <c r="M338" s="187"/>
      <c r="S338" s="187"/>
    </row>
    <row r="339" spans="1:19" ht="12.75">
      <c r="A339" s="9"/>
      <c r="G339" s="187"/>
      <c r="M339" s="187"/>
      <c r="S339" s="187"/>
    </row>
    <row r="340" spans="1:19" ht="12.75">
      <c r="A340" s="9"/>
      <c r="G340" s="187"/>
      <c r="M340" s="187"/>
      <c r="S340" s="187"/>
    </row>
    <row r="341" spans="1:19" ht="12.75">
      <c r="A341" s="9"/>
      <c r="G341" s="187"/>
      <c r="M341" s="187"/>
      <c r="S341" s="187"/>
    </row>
    <row r="342" spans="1:7" ht="12.75">
      <c r="A342" s="9"/>
      <c r="G342" s="187"/>
    </row>
    <row r="343" spans="1:7" ht="12.75">
      <c r="A343" s="9"/>
      <c r="G343" s="187"/>
    </row>
    <row r="344" spans="1:7" ht="12.75">
      <c r="A344" s="9"/>
      <c r="G344" s="187"/>
    </row>
    <row r="345" spans="1:7" ht="12.75">
      <c r="A345" s="9"/>
      <c r="G345" s="187"/>
    </row>
    <row r="346" spans="1:7" ht="12.75">
      <c r="A346" s="9"/>
      <c r="G346" s="187"/>
    </row>
    <row r="347" spans="1:7" ht="12.75">
      <c r="A347" s="9"/>
      <c r="G347" s="187"/>
    </row>
    <row r="348" spans="1:7" ht="12.75">
      <c r="A348" s="9"/>
      <c r="G348" s="187"/>
    </row>
    <row r="349" spans="1:7" ht="12.75">
      <c r="A349" s="9"/>
      <c r="G349" s="187"/>
    </row>
    <row r="350" spans="1:7" ht="12.75">
      <c r="A350" s="9"/>
      <c r="G350" s="187"/>
    </row>
    <row r="351" spans="1:7" ht="12.75">
      <c r="A351" s="9"/>
      <c r="G351" s="187"/>
    </row>
    <row r="352" spans="1:7" ht="12.75">
      <c r="A352" s="9"/>
      <c r="G352" s="187"/>
    </row>
    <row r="353" spans="1:7" ht="12.75">
      <c r="A353" s="9"/>
      <c r="G353" s="187"/>
    </row>
    <row r="354" spans="1:7" ht="12.75">
      <c r="A354" s="9"/>
      <c r="G354" s="187"/>
    </row>
  </sheetData>
  <hyperlinks>
    <hyperlink ref="E1" location="Tabelle1!A3" display="Tabelle1!A3"/>
    <hyperlink ref="E2" location="Tabelle1!A12" display="Tabelle1!A12"/>
    <hyperlink ref="E3" location="Tabelle1!A46" display="Tabelle1!A46"/>
    <hyperlink ref="E4" location="Tabelle1!A77" display="Tabelle1!A77"/>
    <hyperlink ref="E5" location="Tabelle1!A100" display="Tabelle1!A100"/>
    <hyperlink ref="E6" location="Tabelle1!A37" display="Tabelle1!A37"/>
    <hyperlink ref="E7" location="Tabelle1!A68" display="Tabelle1!A68"/>
    <hyperlink ref="E8" location="Tabelle1!A91" display="Tabelle1!A91"/>
    <hyperlink ref="E9" location="Tabelle1!A100" display="Tabelle1!A100"/>
    <hyperlink ref="E29" location="Tabelle1!A3" display="Tabelle1!A3"/>
    <hyperlink ref="E30" location="Tabelle1!A12" display="Tabelle1!A12"/>
    <hyperlink ref="E31" location="Tabelle1!A46" display="Tabelle1!A46"/>
    <hyperlink ref="E32" location="Tabelle1!A77" display="Tabelle1!A77"/>
    <hyperlink ref="E33" location="Tabelle1!A100" display="Tabelle1!A100"/>
    <hyperlink ref="E34" location="Tabelle1!A37" display="Tabelle1!A37"/>
    <hyperlink ref="E35" location="Tabelle1!A68" display="Tabelle1!A68"/>
    <hyperlink ref="E36" location="Tabelle1!A91" display="Tabelle1!A91"/>
    <hyperlink ref="E37" location="Tabelle1!A100" display="Tabelle1!A100"/>
    <hyperlink ref="E47" location="Tabelle1!A3" display="Tabelle1!A3"/>
    <hyperlink ref="E48" location="Tabelle1!A12" display="Tabelle1!A12"/>
    <hyperlink ref="E49" location="Tabelle1!A46" display="Tabelle1!A46"/>
    <hyperlink ref="E50" location="Tabelle1!A77" display="Tabelle1!A77"/>
    <hyperlink ref="E51" location="Tabelle1!A100" display="Tabelle1!A100"/>
    <hyperlink ref="E52" location="Tabelle1!A37" display="Tabelle1!A37"/>
    <hyperlink ref="E53" location="Tabelle1!A68" display="Tabelle1!A68"/>
    <hyperlink ref="E54" location="Tabelle1!A91" display="Tabelle1!A91"/>
    <hyperlink ref="E55" location="Tabelle1!A100" display="Tabelle1!A100"/>
    <hyperlink ref="C2" r:id="rId1" display="http://home.t-online.de/home/hydrobio.hw/seenbew.htm"/>
  </hyperlinks>
  <printOptions/>
  <pageMargins left="0.75" right="0.75" top="1" bottom="1" header="0.4921259845" footer="0.4921259845"/>
  <pageSetup horizontalDpi="360" verticalDpi="360"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Hartmut</dc:creator>
  <cp:keywords/>
  <dc:description/>
  <cp:lastModifiedBy>Hartmut</cp:lastModifiedBy>
  <dcterms:created xsi:type="dcterms:W3CDTF">1999-12-15T15:56:02Z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